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1.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B7FE6334-C1A2-E50D-BD3D-5F4D41BBC2E3}"/>
  <workbookPr codeName="ThisWorkbook" defaultThemeVersion="124226"/>
  <bookViews>
    <workbookView xWindow="0" yWindow="285" windowWidth="19035" windowHeight="11265"/>
  </bookViews>
  <sheets>
    <sheet name="Introduction" sheetId="5" r:id="rId1"/>
    <sheet name="Input Information" sheetId="2" r:id="rId2"/>
    <sheet name="Recommendation Summary" sheetId="6" r:id="rId3"/>
    <sheet name="Lime Rate &amp; Cost" sheetId="9" r:id="rId4"/>
    <sheet name="Fertilizer Rate &amp; Cost" sheetId="11" r:id="rId5"/>
    <sheet name="Calc" sheetId="4" state="hidden" r:id="rId6"/>
  </sheets>
  <definedNames>
    <definedName name="bph" localSheetId="4">#REF!</definedName>
    <definedName name="bph" localSheetId="3">#REF!</definedName>
    <definedName name="bph">#REF!</definedName>
    <definedName name="bphrange" localSheetId="4">#REF!</definedName>
    <definedName name="bphrange" localSheetId="3">#REF!</definedName>
    <definedName name="bphrange">#REF!</definedName>
    <definedName name="ph" localSheetId="4">#REF!</definedName>
    <definedName name="ph" localSheetId="3">#REF!</definedName>
    <definedName name="ph">#REF!</definedName>
    <definedName name="test">#REF!</definedName>
    <definedName name="tph" localSheetId="4">#REF!</definedName>
    <definedName name="tph" localSheetId="3">#REF!</definedName>
    <definedName name="tph">#REF!</definedName>
    <definedName name="tsix" localSheetId="4">#REF!</definedName>
    <definedName name="tsix" localSheetId="3">#REF!</definedName>
    <definedName name="tsix">#REF!</definedName>
    <definedName name="tsixeight" localSheetId="4">#REF!</definedName>
    <definedName name="tsixeight" localSheetId="3">#REF!</definedName>
    <definedName name="tsixeight">#REF!</definedName>
    <definedName name="tsixfive" localSheetId="4">#REF!</definedName>
    <definedName name="tsixfive" localSheetId="3">#REF!</definedName>
    <definedName name="tsixfive">#REF!</definedName>
  </definedNames>
  <calcPr calcId="125725"/>
</workbook>
</file>

<file path=xl/calcChain.xml><?xml version="1.0" encoding="utf-8"?>
<calcChain xmlns="http://schemas.openxmlformats.org/spreadsheetml/2006/main">
  <c r="B12" i="9"/>
  <c r="G60" i="4" l="1"/>
  <c r="G51"/>
  <c r="G42"/>
  <c r="G33"/>
  <c r="G24"/>
  <c r="G15"/>
  <c r="G6"/>
  <c r="B3" i="6" l="1"/>
  <c r="H56" i="4" l="1"/>
  <c r="H47"/>
  <c r="H38"/>
  <c r="H29"/>
  <c r="H20"/>
  <c r="H11"/>
  <c r="H2"/>
  <c r="I2" s="1"/>
  <c r="G2" s="1"/>
  <c r="A12" i="11" l="1"/>
  <c r="H17" i="2" l="1"/>
  <c r="B4" i="11" l="1"/>
  <c r="B3"/>
  <c r="B4" i="9"/>
  <c r="B3"/>
  <c r="B4" i="6"/>
  <c r="I38" i="4"/>
  <c r="G38" s="1"/>
  <c r="I56" l="1"/>
  <c r="G56" s="1"/>
  <c r="I47"/>
  <c r="G47" s="1"/>
  <c r="I29"/>
  <c r="G29" s="1"/>
  <c r="I20"/>
  <c r="G20" s="1"/>
  <c r="I11"/>
  <c r="G11" s="1"/>
  <c r="C74" i="11" l="1"/>
  <c r="C73"/>
  <c r="C72"/>
  <c r="C71"/>
  <c r="C70"/>
  <c r="C69"/>
  <c r="C68"/>
  <c r="C63"/>
  <c r="C62"/>
  <c r="C61"/>
  <c r="C60"/>
  <c r="C59"/>
  <c r="C58"/>
  <c r="C57"/>
  <c r="C51"/>
  <c r="C50"/>
  <c r="C49"/>
  <c r="C48"/>
  <c r="C47"/>
  <c r="C46"/>
  <c r="C45"/>
  <c r="C40"/>
  <c r="C39"/>
  <c r="C38"/>
  <c r="C37"/>
  <c r="C36"/>
  <c r="C35"/>
  <c r="C34"/>
  <c r="B74"/>
  <c r="B73"/>
  <c r="B72"/>
  <c r="B71"/>
  <c r="B70"/>
  <c r="B69"/>
  <c r="B68"/>
  <c r="B63"/>
  <c r="B62"/>
  <c r="B61"/>
  <c r="B60"/>
  <c r="B59"/>
  <c r="B58"/>
  <c r="B57"/>
  <c r="B51"/>
  <c r="B50"/>
  <c r="B49"/>
  <c r="B48"/>
  <c r="B47"/>
  <c r="B46"/>
  <c r="B45"/>
  <c r="B40"/>
  <c r="B39"/>
  <c r="B38"/>
  <c r="B37"/>
  <c r="B36"/>
  <c r="B35"/>
  <c r="B34"/>
  <c r="A74"/>
  <c r="A73"/>
  <c r="A72"/>
  <c r="A71"/>
  <c r="A70"/>
  <c r="A69"/>
  <c r="A68"/>
  <c r="A63"/>
  <c r="A62"/>
  <c r="A61"/>
  <c r="A60"/>
  <c r="A59"/>
  <c r="A58"/>
  <c r="A57"/>
  <c r="A51"/>
  <c r="A50"/>
  <c r="A49"/>
  <c r="A48"/>
  <c r="A47"/>
  <c r="A46"/>
  <c r="A45"/>
  <c r="A40"/>
  <c r="A39"/>
  <c r="A38"/>
  <c r="A37"/>
  <c r="A36"/>
  <c r="A35"/>
  <c r="A34"/>
  <c r="C28"/>
  <c r="C27"/>
  <c r="C26"/>
  <c r="C25"/>
  <c r="C24"/>
  <c r="C23"/>
  <c r="C22"/>
  <c r="B28"/>
  <c r="B27"/>
  <c r="B26"/>
  <c r="B25"/>
  <c r="B24"/>
  <c r="B23"/>
  <c r="B22"/>
  <c r="A28"/>
  <c r="A27"/>
  <c r="A26"/>
  <c r="A25"/>
  <c r="A24"/>
  <c r="A23"/>
  <c r="A22"/>
  <c r="C17"/>
  <c r="C16"/>
  <c r="C15"/>
  <c r="C14"/>
  <c r="C13"/>
  <c r="C12"/>
  <c r="C11"/>
  <c r="B9"/>
  <c r="I23" i="9"/>
  <c r="I21"/>
  <c r="I19"/>
  <c r="I17"/>
  <c r="I15"/>
  <c r="B24"/>
  <c r="B22"/>
  <c r="B20"/>
  <c r="B18"/>
  <c r="B16"/>
  <c r="B14"/>
  <c r="B17" i="11"/>
  <c r="A17"/>
  <c r="B16"/>
  <c r="A16"/>
  <c r="B15"/>
  <c r="A15"/>
  <c r="B14"/>
  <c r="A14"/>
  <c r="B13"/>
  <c r="A13"/>
  <c r="B12"/>
  <c r="B11"/>
  <c r="A11"/>
  <c r="A24" i="9"/>
  <c r="D24" s="1"/>
  <c r="A22"/>
  <c r="D22" s="1"/>
  <c r="A20"/>
  <c r="A18"/>
  <c r="A16"/>
  <c r="A14"/>
  <c r="A12"/>
  <c r="L25" i="2"/>
  <c r="G52" i="4" s="1"/>
  <c r="L26" i="2" l="1"/>
  <c r="G53" i="4" s="1"/>
  <c r="K26" i="2"/>
  <c r="H49" i="4" s="1"/>
  <c r="I49" l="1"/>
  <c r="G49" s="1"/>
  <c r="B33" i="6"/>
  <c r="A33"/>
  <c r="B32"/>
  <c r="A32"/>
  <c r="B31"/>
  <c r="A31"/>
  <c r="B29"/>
  <c r="A29"/>
  <c r="B28"/>
  <c r="A28"/>
  <c r="B27"/>
  <c r="A27"/>
  <c r="B25"/>
  <c r="A25"/>
  <c r="B24"/>
  <c r="A24"/>
  <c r="B23"/>
  <c r="A23"/>
  <c r="B21"/>
  <c r="A21"/>
  <c r="B20"/>
  <c r="A20"/>
  <c r="B19"/>
  <c r="A19"/>
  <c r="B17"/>
  <c r="A17"/>
  <c r="B16"/>
  <c r="A16"/>
  <c r="B15"/>
  <c r="A15"/>
  <c r="B13"/>
  <c r="A13"/>
  <c r="B12"/>
  <c r="A12"/>
  <c r="B11"/>
  <c r="A11"/>
  <c r="A9"/>
  <c r="B9"/>
  <c r="B8"/>
  <c r="A8"/>
  <c r="D6" l="1"/>
  <c r="B7"/>
  <c r="A7"/>
  <c r="H6" l="1"/>
  <c r="C8" i="2"/>
  <c r="C12" s="1"/>
  <c r="C16" s="1"/>
  <c r="C20" s="1"/>
  <c r="C24" s="1"/>
  <c r="C28" s="1"/>
  <c r="C6"/>
  <c r="B55" i="11" s="1"/>
  <c r="C5" i="2"/>
  <c r="B32" i="11" s="1"/>
  <c r="C9" i="2" l="1"/>
  <c r="C13" s="1"/>
  <c r="C17" s="1"/>
  <c r="C21" s="1"/>
  <c r="C25" s="1"/>
  <c r="C29" s="1"/>
  <c r="E6" i="6"/>
  <c r="C10" i="2"/>
  <c r="C14" s="1"/>
  <c r="C18" s="1"/>
  <c r="C22" s="1"/>
  <c r="C26" s="1"/>
  <c r="C30" s="1"/>
  <c r="F6" i="6"/>
  <c r="E4" i="2"/>
  <c r="E5"/>
  <c r="G5"/>
  <c r="H5"/>
  <c r="I5"/>
  <c r="J5"/>
  <c r="E6"/>
  <c r="G6"/>
  <c r="H6"/>
  <c r="I6"/>
  <c r="J6"/>
  <c r="E8"/>
  <c r="E9"/>
  <c r="G9"/>
  <c r="H9"/>
  <c r="I9"/>
  <c r="J9"/>
  <c r="E10"/>
  <c r="G10"/>
  <c r="H10"/>
  <c r="I10"/>
  <c r="J10"/>
  <c r="E12"/>
  <c r="E13"/>
  <c r="G13"/>
  <c r="H13"/>
  <c r="I13"/>
  <c r="J13"/>
  <c r="E14"/>
  <c r="G14"/>
  <c r="H14"/>
  <c r="I14"/>
  <c r="J14"/>
  <c r="E16"/>
  <c r="E17"/>
  <c r="G17"/>
  <c r="I17"/>
  <c r="J17"/>
  <c r="E18"/>
  <c r="G18"/>
  <c r="H18"/>
  <c r="I18"/>
  <c r="J18"/>
  <c r="E20"/>
  <c r="E21"/>
  <c r="G21"/>
  <c r="H21"/>
  <c r="I21"/>
  <c r="J21"/>
  <c r="E22"/>
  <c r="G22"/>
  <c r="H22"/>
  <c r="I22"/>
  <c r="J22"/>
  <c r="E24"/>
  <c r="E25"/>
  <c r="G25"/>
  <c r="H25"/>
  <c r="I25"/>
  <c r="J25"/>
  <c r="E26"/>
  <c r="G26"/>
  <c r="H26"/>
  <c r="I26"/>
  <c r="J26"/>
  <c r="E28"/>
  <c r="E29"/>
  <c r="G29"/>
  <c r="H29"/>
  <c r="I29"/>
  <c r="J29"/>
  <c r="E30"/>
  <c r="G30"/>
  <c r="H30"/>
  <c r="I30"/>
  <c r="J30"/>
  <c r="I6" i="6" l="1"/>
  <c r="J6"/>
  <c r="V56" i="4"/>
  <c r="V47"/>
  <c r="V38"/>
  <c r="V29"/>
  <c r="V20"/>
  <c r="V11"/>
  <c r="V2"/>
  <c r="Y2" l="1"/>
  <c r="W2"/>
  <c r="X2"/>
  <c r="Y56"/>
  <c r="X56"/>
  <c r="W56"/>
  <c r="W47"/>
  <c r="Y47"/>
  <c r="R24" i="2" s="1"/>
  <c r="X47" i="4"/>
  <c r="W38"/>
  <c r="R20" i="2" s="1"/>
  <c r="D20" i="9" s="1"/>
  <c r="Y38" i="4"/>
  <c r="X38"/>
  <c r="W29"/>
  <c r="Y29"/>
  <c r="X29"/>
  <c r="Y20"/>
  <c r="W20"/>
  <c r="X20"/>
  <c r="Y11"/>
  <c r="X11"/>
  <c r="W11"/>
  <c r="R4" i="2"/>
  <c r="D12" i="9" l="1"/>
  <c r="F12" s="1"/>
  <c r="G12" s="1"/>
  <c r="H12" s="1"/>
  <c r="I12" s="1"/>
  <c r="J12" s="1"/>
  <c r="R16" i="2"/>
  <c r="R28"/>
  <c r="L31" i="6" s="1"/>
  <c r="L23"/>
  <c r="L27"/>
  <c r="L39" i="4"/>
  <c r="L19" i="6" l="1"/>
  <c r="D18" i="9"/>
  <c r="F18" s="1"/>
  <c r="G18" s="1"/>
  <c r="H18" s="1"/>
  <c r="I18" s="1"/>
  <c r="J18" s="1"/>
  <c r="F20"/>
  <c r="G20" s="1"/>
  <c r="H20" s="1"/>
  <c r="I20" s="1"/>
  <c r="J20" s="1"/>
  <c r="F22"/>
  <c r="G22" s="1"/>
  <c r="H22" s="1"/>
  <c r="I22" s="1"/>
  <c r="J22" s="1"/>
  <c r="A62" i="4"/>
  <c r="A61"/>
  <c r="A60"/>
  <c r="A58"/>
  <c r="A57"/>
  <c r="A56"/>
  <c r="A53"/>
  <c r="A52"/>
  <c r="A51"/>
  <c r="A49"/>
  <c r="A48"/>
  <c r="A47"/>
  <c r="A44"/>
  <c r="A43"/>
  <c r="A42"/>
  <c r="A40"/>
  <c r="A39"/>
  <c r="A38"/>
  <c r="A35"/>
  <c r="A34"/>
  <c r="A33"/>
  <c r="A31"/>
  <c r="A30"/>
  <c r="A29"/>
  <c r="A26"/>
  <c r="A25"/>
  <c r="A24"/>
  <c r="A22"/>
  <c r="A21"/>
  <c r="A20"/>
  <c r="F24" i="9" l="1"/>
  <c r="G24" s="1"/>
  <c r="H24" s="1"/>
  <c r="I24" s="1"/>
  <c r="J24" s="1"/>
  <c r="R58" i="4"/>
  <c r="R56"/>
  <c r="R49"/>
  <c r="R47"/>
  <c r="R40"/>
  <c r="R38"/>
  <c r="R31"/>
  <c r="R29"/>
  <c r="R22"/>
  <c r="R20"/>
  <c r="M62"/>
  <c r="M60"/>
  <c r="M58"/>
  <c r="M56"/>
  <c r="L62"/>
  <c r="L61"/>
  <c r="L60"/>
  <c r="L58"/>
  <c r="L57"/>
  <c r="L56"/>
  <c r="F58"/>
  <c r="F56"/>
  <c r="B62"/>
  <c r="B61"/>
  <c r="B53"/>
  <c r="B52"/>
  <c r="B51"/>
  <c r="B60"/>
  <c r="R57"/>
  <c r="L53"/>
  <c r="M51"/>
  <c r="M49"/>
  <c r="M47"/>
  <c r="L47"/>
  <c r="L49"/>
  <c r="L48"/>
  <c r="L52"/>
  <c r="L51"/>
  <c r="F40"/>
  <c r="F38"/>
  <c r="F49"/>
  <c r="F47"/>
  <c r="M52"/>
  <c r="R48"/>
  <c r="M44"/>
  <c r="M42"/>
  <c r="M38"/>
  <c r="M35"/>
  <c r="M33"/>
  <c r="M31"/>
  <c r="M29"/>
  <c r="L22"/>
  <c r="L21"/>
  <c r="L20"/>
  <c r="L26"/>
  <c r="L25"/>
  <c r="L24"/>
  <c r="L31"/>
  <c r="L30"/>
  <c r="L29"/>
  <c r="L35"/>
  <c r="L34"/>
  <c r="L33"/>
  <c r="L40"/>
  <c r="L38"/>
  <c r="L44"/>
  <c r="L43"/>
  <c r="L42"/>
  <c r="B44"/>
  <c r="B43"/>
  <c r="B42"/>
  <c r="M40"/>
  <c r="F39"/>
  <c r="AD58" l="1"/>
  <c r="AD56"/>
  <c r="AD59"/>
  <c r="AD60"/>
  <c r="AD57"/>
  <c r="AD61"/>
  <c r="AD50"/>
  <c r="AD51"/>
  <c r="AD48"/>
  <c r="AD52"/>
  <c r="AD49"/>
  <c r="AD47"/>
  <c r="AD42"/>
  <c r="AD39"/>
  <c r="AD43"/>
  <c r="AD40"/>
  <c r="AD38"/>
  <c r="AD41"/>
  <c r="R39"/>
  <c r="M43"/>
  <c r="K43" s="1"/>
  <c r="F48"/>
  <c r="F57"/>
  <c r="M48"/>
  <c r="K48" s="1"/>
  <c r="M61"/>
  <c r="K61" s="1"/>
  <c r="M57"/>
  <c r="K57" s="1"/>
  <c r="K58"/>
  <c r="K56"/>
  <c r="K62"/>
  <c r="K60"/>
  <c r="M53"/>
  <c r="K53" s="1"/>
  <c r="K47"/>
  <c r="K49"/>
  <c r="K51"/>
  <c r="K52"/>
  <c r="K40"/>
  <c r="K42"/>
  <c r="K44"/>
  <c r="K38"/>
  <c r="M39"/>
  <c r="K39" s="1"/>
  <c r="F22"/>
  <c r="F20"/>
  <c r="F31"/>
  <c r="F29"/>
  <c r="B35"/>
  <c r="B34"/>
  <c r="B33"/>
  <c r="AD30" s="1"/>
  <c r="AE30" s="1"/>
  <c r="B26"/>
  <c r="B25"/>
  <c r="B24"/>
  <c r="AD25" s="1"/>
  <c r="B17"/>
  <c r="B16"/>
  <c r="B15"/>
  <c r="AD16" s="1"/>
  <c r="AE16" s="1"/>
  <c r="K31"/>
  <c r="K29"/>
  <c r="M24"/>
  <c r="M22"/>
  <c r="K22" s="1"/>
  <c r="R21"/>
  <c r="M20"/>
  <c r="N30" i="2"/>
  <c r="M30"/>
  <c r="L30"/>
  <c r="G62" i="4" s="1"/>
  <c r="K30" i="2"/>
  <c r="H58" i="4" s="1"/>
  <c r="N29" i="2"/>
  <c r="M29"/>
  <c r="L29"/>
  <c r="G61" i="4" s="1"/>
  <c r="K29" i="2"/>
  <c r="H57" i="4" s="1"/>
  <c r="N25" i="2"/>
  <c r="M25"/>
  <c r="K25"/>
  <c r="H48" i="4" s="1"/>
  <c r="N22" i="2"/>
  <c r="M22"/>
  <c r="L22"/>
  <c r="G44" i="4" s="1"/>
  <c r="K22" i="2"/>
  <c r="H40" i="4" s="1"/>
  <c r="N21" i="2"/>
  <c r="M21"/>
  <c r="L21"/>
  <c r="G43" i="4" s="1"/>
  <c r="K21" i="2"/>
  <c r="H39" i="4" s="1"/>
  <c r="N18" i="2"/>
  <c r="M18"/>
  <c r="L18"/>
  <c r="G35" i="4" s="1"/>
  <c r="K18" i="2"/>
  <c r="H31" i="4" s="1"/>
  <c r="N17" i="2"/>
  <c r="M17"/>
  <c r="L17"/>
  <c r="G34" i="4" s="1"/>
  <c r="K17" i="2"/>
  <c r="H30" i="4" s="1"/>
  <c r="N14" i="2"/>
  <c r="M14"/>
  <c r="L14"/>
  <c r="G26" i="4" s="1"/>
  <c r="K14" i="2"/>
  <c r="H22" i="4" s="1"/>
  <c r="N13" i="2"/>
  <c r="M13"/>
  <c r="L13"/>
  <c r="G25" i="4" s="1"/>
  <c r="K13" i="2"/>
  <c r="H21" i="4" s="1"/>
  <c r="F44" l="1"/>
  <c r="F42"/>
  <c r="F43"/>
  <c r="AE25"/>
  <c r="F24"/>
  <c r="I58"/>
  <c r="G58" s="1"/>
  <c r="I57"/>
  <c r="G57" s="1"/>
  <c r="I48"/>
  <c r="G48" s="1"/>
  <c r="I40"/>
  <c r="G40" s="1"/>
  <c r="I39"/>
  <c r="G39" s="1"/>
  <c r="I31"/>
  <c r="I30"/>
  <c r="G30" s="1"/>
  <c r="I22"/>
  <c r="G22" s="1"/>
  <c r="I21"/>
  <c r="G21" s="1"/>
  <c r="P38"/>
  <c r="Q38" s="1"/>
  <c r="R12" i="2"/>
  <c r="D16" i="9" s="1"/>
  <c r="R8" i="2"/>
  <c r="D14" i="9" s="1"/>
  <c r="AD22" i="4"/>
  <c r="AE22" s="1"/>
  <c r="AD32"/>
  <c r="AE57"/>
  <c r="AE60"/>
  <c r="AE48"/>
  <c r="AE47"/>
  <c r="AE38"/>
  <c r="AE56"/>
  <c r="AE51"/>
  <c r="AE42"/>
  <c r="AE39"/>
  <c r="AD31"/>
  <c r="AE31" s="1"/>
  <c r="AD33"/>
  <c r="AE33" s="1"/>
  <c r="AD29"/>
  <c r="AE29" s="1"/>
  <c r="AD34"/>
  <c r="AE34" s="1"/>
  <c r="M30"/>
  <c r="K30" s="1"/>
  <c r="R30"/>
  <c r="F30"/>
  <c r="M34"/>
  <c r="M21"/>
  <c r="K21" s="1"/>
  <c r="F21"/>
  <c r="AD23"/>
  <c r="AE23" s="1"/>
  <c r="AD13"/>
  <c r="AD20"/>
  <c r="AE20" s="1"/>
  <c r="AD24"/>
  <c r="AE24" s="1"/>
  <c r="AD21"/>
  <c r="AE21" s="1"/>
  <c r="AD14"/>
  <c r="AD11"/>
  <c r="AD15"/>
  <c r="AE15" s="1"/>
  <c r="AD12"/>
  <c r="AE12" s="1"/>
  <c r="K35"/>
  <c r="K33"/>
  <c r="K20"/>
  <c r="K24"/>
  <c r="M25"/>
  <c r="M26"/>
  <c r="K26" s="1"/>
  <c r="L5" i="2"/>
  <c r="G7" i="4" s="1"/>
  <c r="F25" l="1"/>
  <c r="F26"/>
  <c r="G31"/>
  <c r="P31" s="1"/>
  <c r="Q31" s="1"/>
  <c r="F14" i="9"/>
  <c r="L15" i="6"/>
  <c r="L11"/>
  <c r="P56" i="4"/>
  <c r="Q56" s="1"/>
  <c r="P39"/>
  <c r="Q39" s="1"/>
  <c r="D47"/>
  <c r="D38"/>
  <c r="D29"/>
  <c r="D39"/>
  <c r="P20"/>
  <c r="Q20" s="1"/>
  <c r="D56"/>
  <c r="P29"/>
  <c r="Q29" s="1"/>
  <c r="P47"/>
  <c r="Q47" s="1"/>
  <c r="D48"/>
  <c r="D40"/>
  <c r="P22"/>
  <c r="Q22" s="1"/>
  <c r="D22"/>
  <c r="P48"/>
  <c r="Q48" s="1"/>
  <c r="P25" i="2" s="1"/>
  <c r="D39" i="11" s="1"/>
  <c r="P40" i="4"/>
  <c r="Q40" s="1"/>
  <c r="P22" i="2" s="1"/>
  <c r="D61" i="11" s="1"/>
  <c r="F33" i="4"/>
  <c r="P33" s="1"/>
  <c r="Q33" s="1"/>
  <c r="F35"/>
  <c r="R26"/>
  <c r="R24"/>
  <c r="R25"/>
  <c r="D57"/>
  <c r="D49"/>
  <c r="AE32"/>
  <c r="R34" s="1"/>
  <c r="K34"/>
  <c r="AE43"/>
  <c r="AE40"/>
  <c r="P21"/>
  <c r="Q21" s="1"/>
  <c r="AE61"/>
  <c r="F62"/>
  <c r="AE59"/>
  <c r="F60"/>
  <c r="R35"/>
  <c r="F51"/>
  <c r="AE50"/>
  <c r="F34"/>
  <c r="R33"/>
  <c r="AE49"/>
  <c r="F52"/>
  <c r="P52" s="1"/>
  <c r="AE58"/>
  <c r="F61"/>
  <c r="AE52"/>
  <c r="R53" s="1"/>
  <c r="F53"/>
  <c r="AE41"/>
  <c r="D30"/>
  <c r="D21"/>
  <c r="K25"/>
  <c r="D58"/>
  <c r="P58"/>
  <c r="Q58" s="1"/>
  <c r="P57"/>
  <c r="Q57" s="1"/>
  <c r="P49"/>
  <c r="Q49" s="1"/>
  <c r="AE14"/>
  <c r="AE13"/>
  <c r="AE11"/>
  <c r="P30"/>
  <c r="Q30" s="1"/>
  <c r="D20"/>
  <c r="P12" i="2" s="1"/>
  <c r="D13" i="11" s="1"/>
  <c r="D31" i="4" l="1"/>
  <c r="P18" i="2" s="1"/>
  <c r="D60" i="11" s="1"/>
  <c r="P30" i="2"/>
  <c r="D63" i="11" s="1"/>
  <c r="R52" i="4"/>
  <c r="R43"/>
  <c r="R61"/>
  <c r="P29" i="2"/>
  <c r="D40" i="11" s="1"/>
  <c r="R60" i="4"/>
  <c r="P14" i="2"/>
  <c r="D59" i="11" s="1"/>
  <c r="P21" i="2"/>
  <c r="D38" i="11" s="1"/>
  <c r="R42" i="4"/>
  <c r="P26" i="2"/>
  <c r="D62" i="11" s="1"/>
  <c r="P17" i="2"/>
  <c r="D37" i="11" s="1"/>
  <c r="P13" i="2"/>
  <c r="R44" i="4"/>
  <c r="P16" i="2"/>
  <c r="D14" i="11" s="1"/>
  <c r="P28" i="2"/>
  <c r="D17" i="11" s="1"/>
  <c r="P24" i="2"/>
  <c r="P20"/>
  <c r="D15" i="11" s="1"/>
  <c r="H13"/>
  <c r="I13" s="1"/>
  <c r="R51" i="4"/>
  <c r="F16" i="9"/>
  <c r="G16" s="1"/>
  <c r="H16" s="1"/>
  <c r="I16" s="1"/>
  <c r="J16" s="1"/>
  <c r="R62" i="4"/>
  <c r="D25" i="9"/>
  <c r="P62" i="4"/>
  <c r="Q62" s="1"/>
  <c r="D43"/>
  <c r="E43" s="1"/>
  <c r="S33"/>
  <c r="T33" s="1"/>
  <c r="D33"/>
  <c r="E33" s="1"/>
  <c r="D15" i="6"/>
  <c r="D35" i="4"/>
  <c r="E35" s="1"/>
  <c r="S35"/>
  <c r="T35" s="1"/>
  <c r="P35"/>
  <c r="Q35" s="1"/>
  <c r="S62"/>
  <c r="T62" s="1"/>
  <c r="D61"/>
  <c r="E61" s="1"/>
  <c r="S61"/>
  <c r="T61" s="1"/>
  <c r="S43"/>
  <c r="T43" s="1"/>
  <c r="P34"/>
  <c r="Q34" s="1"/>
  <c r="P61"/>
  <c r="Q61" s="1"/>
  <c r="D62"/>
  <c r="E62" s="1"/>
  <c r="S34"/>
  <c r="T34" s="1"/>
  <c r="P43"/>
  <c r="Q43" s="1"/>
  <c r="D34"/>
  <c r="Q52"/>
  <c r="D60"/>
  <c r="E60" s="1"/>
  <c r="S60"/>
  <c r="T60" s="1"/>
  <c r="P60"/>
  <c r="Q60" s="1"/>
  <c r="D42"/>
  <c r="E42" s="1"/>
  <c r="S42"/>
  <c r="T42" s="1"/>
  <c r="P42"/>
  <c r="Q42" s="1"/>
  <c r="D52"/>
  <c r="E52" s="1"/>
  <c r="P51"/>
  <c r="Q51" s="1"/>
  <c r="S51"/>
  <c r="T51" s="1"/>
  <c r="D51"/>
  <c r="E51" s="1"/>
  <c r="D44"/>
  <c r="E44" s="1"/>
  <c r="P44"/>
  <c r="Q44" s="1"/>
  <c r="S44"/>
  <c r="D53"/>
  <c r="E53" s="1"/>
  <c r="S53"/>
  <c r="P53"/>
  <c r="Q53" s="1"/>
  <c r="S52"/>
  <c r="T52" s="1"/>
  <c r="F21" i="6" l="1"/>
  <c r="E24"/>
  <c r="D27"/>
  <c r="D16" i="11"/>
  <c r="D36"/>
  <c r="H36" s="1"/>
  <c r="I36" s="1"/>
  <c r="H15"/>
  <c r="I15" s="1"/>
  <c r="E15"/>
  <c r="F15" s="1"/>
  <c r="G15" s="1"/>
  <c r="D23" i="6"/>
  <c r="E13" i="11"/>
  <c r="F13" s="1"/>
  <c r="G13" s="1"/>
  <c r="H59"/>
  <c r="I59" s="1"/>
  <c r="E59"/>
  <c r="F59" s="1"/>
  <c r="G59" s="1"/>
  <c r="F17" i="6"/>
  <c r="F29"/>
  <c r="F33"/>
  <c r="F25"/>
  <c r="D31"/>
  <c r="H63" i="11"/>
  <c r="I63" s="1"/>
  <c r="E63"/>
  <c r="F63" s="1"/>
  <c r="G63" s="1"/>
  <c r="H17"/>
  <c r="I17" s="1"/>
  <c r="E17"/>
  <c r="F17" s="1"/>
  <c r="G17" s="1"/>
  <c r="H61"/>
  <c r="I61" s="1"/>
  <c r="E61"/>
  <c r="F61" s="1"/>
  <c r="G61" s="1"/>
  <c r="E40"/>
  <c r="F40" s="1"/>
  <c r="G40" s="1"/>
  <c r="H40"/>
  <c r="I40" s="1"/>
  <c r="E39"/>
  <c r="F39" s="1"/>
  <c r="G39" s="1"/>
  <c r="H39"/>
  <c r="I39" s="1"/>
  <c r="E62"/>
  <c r="F62" s="1"/>
  <c r="G62" s="1"/>
  <c r="H62"/>
  <c r="I62" s="1"/>
  <c r="H37"/>
  <c r="I37" s="1"/>
  <c r="E37"/>
  <c r="F37" s="1"/>
  <c r="G37" s="1"/>
  <c r="E20" i="6"/>
  <c r="E32"/>
  <c r="E28"/>
  <c r="D19"/>
  <c r="E14" i="11"/>
  <c r="F14" s="1"/>
  <c r="G14" s="1"/>
  <c r="H14"/>
  <c r="I14" s="1"/>
  <c r="E16" i="6"/>
  <c r="Q21" i="2"/>
  <c r="Q20"/>
  <c r="D26" i="11" s="1"/>
  <c r="H60"/>
  <c r="I60" s="1"/>
  <c r="E60"/>
  <c r="F60" s="1"/>
  <c r="G60" s="1"/>
  <c r="Q29" i="2"/>
  <c r="D51" i="11" s="1"/>
  <c r="F25" i="9"/>
  <c r="G14"/>
  <c r="Q25" i="2"/>
  <c r="D50" i="11" s="1"/>
  <c r="Q24" i="2"/>
  <c r="D27" i="11" s="1"/>
  <c r="Q28" i="2"/>
  <c r="D28" i="11" s="1"/>
  <c r="Q30" i="2"/>
  <c r="D74" i="11" s="1"/>
  <c r="Q18" i="2"/>
  <c r="D71" i="11" s="1"/>
  <c r="Q16" i="2"/>
  <c r="D25" i="11" s="1"/>
  <c r="E34" i="4"/>
  <c r="L7" i="6"/>
  <c r="T53" i="4"/>
  <c r="T44"/>
  <c r="A17"/>
  <c r="A16"/>
  <c r="A15"/>
  <c r="A13"/>
  <c r="A12"/>
  <c r="A11"/>
  <c r="D49" i="11" l="1"/>
  <c r="E49" s="1"/>
  <c r="F49" s="1"/>
  <c r="G49" s="1"/>
  <c r="E36"/>
  <c r="F36" s="1"/>
  <c r="G36" s="1"/>
  <c r="E16"/>
  <c r="F16" s="1"/>
  <c r="G16" s="1"/>
  <c r="H16"/>
  <c r="I16" s="1"/>
  <c r="E38"/>
  <c r="F38" s="1"/>
  <c r="G38" s="1"/>
  <c r="H38"/>
  <c r="I38" s="1"/>
  <c r="I24" i="6"/>
  <c r="I32"/>
  <c r="H23"/>
  <c r="J33"/>
  <c r="H31"/>
  <c r="H19"/>
  <c r="H27"/>
  <c r="H51" i="11"/>
  <c r="I51" s="1"/>
  <c r="E51"/>
  <c r="F51" s="1"/>
  <c r="G51" s="1"/>
  <c r="J21" i="6"/>
  <c r="I28"/>
  <c r="E26" i="11"/>
  <c r="F26" s="1"/>
  <c r="G26" s="1"/>
  <c r="H26"/>
  <c r="I26" s="1"/>
  <c r="H14" i="9"/>
  <c r="I14" s="1"/>
  <c r="I25" s="1"/>
  <c r="G25"/>
  <c r="Q17" i="2"/>
  <c r="D48" i="11" s="1"/>
  <c r="Q26" i="2"/>
  <c r="D73" i="11" s="1"/>
  <c r="Q22" i="2"/>
  <c r="D72" i="11" s="1"/>
  <c r="M15" i="4"/>
  <c r="F15"/>
  <c r="R15"/>
  <c r="F11"/>
  <c r="R11"/>
  <c r="R13"/>
  <c r="F13"/>
  <c r="M17"/>
  <c r="F17"/>
  <c r="R17"/>
  <c r="M16"/>
  <c r="F16"/>
  <c r="R16"/>
  <c r="R12"/>
  <c r="F12"/>
  <c r="L17"/>
  <c r="L16"/>
  <c r="L15"/>
  <c r="L13"/>
  <c r="L12"/>
  <c r="L11"/>
  <c r="M12"/>
  <c r="N10" i="2"/>
  <c r="N9"/>
  <c r="M10"/>
  <c r="M9"/>
  <c r="L10"/>
  <c r="G17" i="4" s="1"/>
  <c r="L9" i="2"/>
  <c r="G16" i="4" s="1"/>
  <c r="K10" i="2"/>
  <c r="H13" i="4" s="1"/>
  <c r="K9" i="2"/>
  <c r="H12" i="4" s="1"/>
  <c r="H49" i="11" l="1"/>
  <c r="I49" s="1"/>
  <c r="I12" i="4"/>
  <c r="G12" s="1"/>
  <c r="I13"/>
  <c r="G13" s="1"/>
  <c r="J29" i="6"/>
  <c r="H71" i="11"/>
  <c r="I71" s="1"/>
  <c r="E71"/>
  <c r="F71" s="1"/>
  <c r="G71" s="1"/>
  <c r="E27"/>
  <c r="F27" s="1"/>
  <c r="G27" s="1"/>
  <c r="H27"/>
  <c r="I27" s="1"/>
  <c r="H28"/>
  <c r="I28" s="1"/>
  <c r="E28"/>
  <c r="F28" s="1"/>
  <c r="G28" s="1"/>
  <c r="I20" i="6"/>
  <c r="E50" i="11"/>
  <c r="F50" s="1"/>
  <c r="G50" s="1"/>
  <c r="H50"/>
  <c r="I50" s="1"/>
  <c r="H25"/>
  <c r="I25" s="1"/>
  <c r="E25"/>
  <c r="F25" s="1"/>
  <c r="G25" s="1"/>
  <c r="E74"/>
  <c r="F74" s="1"/>
  <c r="G74" s="1"/>
  <c r="H74"/>
  <c r="I74" s="1"/>
  <c r="J25" i="6"/>
  <c r="J14" i="9"/>
  <c r="J25" s="1"/>
  <c r="H25"/>
  <c r="K12" i="4"/>
  <c r="M11"/>
  <c r="K11" s="1"/>
  <c r="K17"/>
  <c r="M13"/>
  <c r="K13" s="1"/>
  <c r="L8"/>
  <c r="L7"/>
  <c r="L6"/>
  <c r="L4"/>
  <c r="L3"/>
  <c r="L2"/>
  <c r="B8"/>
  <c r="B7"/>
  <c r="B6"/>
  <c r="AD5" s="1"/>
  <c r="A8"/>
  <c r="A7"/>
  <c r="A6"/>
  <c r="A2"/>
  <c r="F2" s="1"/>
  <c r="A3"/>
  <c r="F3" s="1"/>
  <c r="A4"/>
  <c r="H72" i="11" l="1"/>
  <c r="I72" s="1"/>
  <c r="E72"/>
  <c r="F72" s="1"/>
  <c r="G72" s="1"/>
  <c r="H48"/>
  <c r="I48" s="1"/>
  <c r="E48"/>
  <c r="F48" s="1"/>
  <c r="G48" s="1"/>
  <c r="E73"/>
  <c r="F73" s="1"/>
  <c r="G73" s="1"/>
  <c r="H73"/>
  <c r="I73" s="1"/>
  <c r="P13" i="4"/>
  <c r="Q13" s="1"/>
  <c r="AE5"/>
  <c r="K15"/>
  <c r="S15" s="1"/>
  <c r="D11"/>
  <c r="K16"/>
  <c r="D13"/>
  <c r="P11"/>
  <c r="Q11" s="1"/>
  <c r="R4"/>
  <c r="F4"/>
  <c r="M8"/>
  <c r="M3"/>
  <c r="K3" s="1"/>
  <c r="M4"/>
  <c r="K4" s="1"/>
  <c r="AD6"/>
  <c r="M6"/>
  <c r="AD2"/>
  <c r="AE2" s="1"/>
  <c r="M2"/>
  <c r="K2" s="1"/>
  <c r="M7"/>
  <c r="AD4"/>
  <c r="AD3"/>
  <c r="AE3" s="1"/>
  <c r="AD7"/>
  <c r="R3"/>
  <c r="R2"/>
  <c r="N6" i="2"/>
  <c r="M6"/>
  <c r="L6"/>
  <c r="G8" i="4" s="1"/>
  <c r="K6" i="2"/>
  <c r="H4" i="4" s="1"/>
  <c r="N5" i="2"/>
  <c r="M5"/>
  <c r="K5"/>
  <c r="H3" i="4" s="1"/>
  <c r="P10" i="2" l="1"/>
  <c r="D58" i="11" s="1"/>
  <c r="P8" i="2"/>
  <c r="I4" i="4"/>
  <c r="G4" s="1"/>
  <c r="I3"/>
  <c r="G3" s="1"/>
  <c r="P12"/>
  <c r="Q12" s="1"/>
  <c r="AE6"/>
  <c r="AE7"/>
  <c r="AE4"/>
  <c r="K7"/>
  <c r="K6"/>
  <c r="F6"/>
  <c r="K8"/>
  <c r="F8"/>
  <c r="F7"/>
  <c r="P2"/>
  <c r="Q2" s="1"/>
  <c r="D2"/>
  <c r="R7" l="1"/>
  <c r="D11" i="6"/>
  <c r="D12" i="11"/>
  <c r="P4" i="2"/>
  <c r="D11" i="11" s="1"/>
  <c r="F13" i="6"/>
  <c r="E58" i="11"/>
  <c r="F58" s="1"/>
  <c r="G58" s="1"/>
  <c r="H58"/>
  <c r="I58" s="1"/>
  <c r="D12" i="4"/>
  <c r="P9" i="2" s="1"/>
  <c r="D35" i="11" s="1"/>
  <c r="D24" i="4"/>
  <c r="E24" s="1"/>
  <c r="D16"/>
  <c r="E16" s="1"/>
  <c r="P16"/>
  <c r="Q16" s="1"/>
  <c r="S16"/>
  <c r="T16" s="1"/>
  <c r="S24"/>
  <c r="T24" s="1"/>
  <c r="P24"/>
  <c r="Q24" s="1"/>
  <c r="D4"/>
  <c r="D3"/>
  <c r="P26"/>
  <c r="Q26" s="1"/>
  <c r="D26"/>
  <c r="E26" s="1"/>
  <c r="S26"/>
  <c r="T26" s="1"/>
  <c r="S8"/>
  <c r="P25"/>
  <c r="Q25" s="1"/>
  <c r="S25"/>
  <c r="T25" s="1"/>
  <c r="D25"/>
  <c r="P3"/>
  <c r="Q3" s="1"/>
  <c r="P4"/>
  <c r="Q4" s="1"/>
  <c r="S17"/>
  <c r="T15"/>
  <c r="S7"/>
  <c r="T7" s="1"/>
  <c r="S6"/>
  <c r="T6" s="1"/>
  <c r="D8"/>
  <c r="E8" s="1"/>
  <c r="D6"/>
  <c r="E6" s="1"/>
  <c r="P6"/>
  <c r="Q6" s="1"/>
  <c r="D17"/>
  <c r="E17" s="1"/>
  <c r="P17"/>
  <c r="Q17" s="1"/>
  <c r="R6"/>
  <c r="R8"/>
  <c r="P15"/>
  <c r="Q15" s="1"/>
  <c r="D15"/>
  <c r="E15" s="1"/>
  <c r="P7"/>
  <c r="Q7" s="1"/>
  <c r="D7"/>
  <c r="E7" s="1"/>
  <c r="Q5" i="2" s="1"/>
  <c r="D45" i="11" s="1"/>
  <c r="P8" i="4"/>
  <c r="Q8" s="1"/>
  <c r="Q12" i="2" l="1"/>
  <c r="D24" i="11" s="1"/>
  <c r="H24" s="1"/>
  <c r="I24" s="1"/>
  <c r="Q8" i="2"/>
  <c r="D23" i="11" s="1"/>
  <c r="H23" s="1"/>
  <c r="I23" s="1"/>
  <c r="P6" i="2"/>
  <c r="D57" i="11" s="1"/>
  <c r="E57" s="1"/>
  <c r="F57" s="1"/>
  <c r="Q9" i="2"/>
  <c r="P5"/>
  <c r="Q4"/>
  <c r="E12" i="11"/>
  <c r="F12" s="1"/>
  <c r="G12" s="1"/>
  <c r="H12"/>
  <c r="I12" s="1"/>
  <c r="D7" i="6"/>
  <c r="E11" i="11"/>
  <c r="F11" s="1"/>
  <c r="H11"/>
  <c r="I11" s="1"/>
  <c r="Q14" i="2"/>
  <c r="H45" i="11"/>
  <c r="E45"/>
  <c r="F45" s="1"/>
  <c r="E12" i="6"/>
  <c r="E25" i="4"/>
  <c r="Q13" i="2" s="1"/>
  <c r="D47" i="11" s="1"/>
  <c r="I8" i="6"/>
  <c r="T17" i="4"/>
  <c r="Q10" i="2" s="1"/>
  <c r="T8" i="4"/>
  <c r="H15" i="6" l="1"/>
  <c r="E24" i="11"/>
  <c r="F24" s="1"/>
  <c r="G24" s="1"/>
  <c r="H11" i="6"/>
  <c r="E23" i="11"/>
  <c r="F23" s="1"/>
  <c r="G23" s="1"/>
  <c r="Q6" i="2"/>
  <c r="D68" i="11" s="1"/>
  <c r="D70"/>
  <c r="E70" s="1"/>
  <c r="F70" s="1"/>
  <c r="G70" s="1"/>
  <c r="D69"/>
  <c r="H69" s="1"/>
  <c r="I69" s="1"/>
  <c r="D46"/>
  <c r="E46" s="1"/>
  <c r="F46" s="1"/>
  <c r="G46" s="1"/>
  <c r="D34"/>
  <c r="E34" s="1"/>
  <c r="F34" s="1"/>
  <c r="G34" s="1"/>
  <c r="D22"/>
  <c r="E22" s="1"/>
  <c r="F22" s="1"/>
  <c r="J13" i="6"/>
  <c r="I12"/>
  <c r="H7"/>
  <c r="F18" i="11"/>
  <c r="H18"/>
  <c r="I18"/>
  <c r="G11"/>
  <c r="G18" s="1"/>
  <c r="E8" i="6"/>
  <c r="F9"/>
  <c r="H57" i="11"/>
  <c r="I57" s="1"/>
  <c r="I64" s="1"/>
  <c r="J17" i="6"/>
  <c r="I16"/>
  <c r="I45" i="11"/>
  <c r="H35"/>
  <c r="I35" s="1"/>
  <c r="E35"/>
  <c r="F35" s="1"/>
  <c r="G35" s="1"/>
  <c r="G45"/>
  <c r="G57"/>
  <c r="G64" s="1"/>
  <c r="F64"/>
  <c r="H70" l="1"/>
  <c r="I70" s="1"/>
  <c r="H22"/>
  <c r="I22" s="1"/>
  <c r="I29" s="1"/>
  <c r="H68"/>
  <c r="I68" s="1"/>
  <c r="E68"/>
  <c r="F68" s="1"/>
  <c r="G68" s="1"/>
  <c r="J9" i="6"/>
  <c r="H34" i="11"/>
  <c r="I34" s="1"/>
  <c r="I41" s="1"/>
  <c r="E69"/>
  <c r="F69" s="1"/>
  <c r="H46"/>
  <c r="I46" s="1"/>
  <c r="G22"/>
  <c r="G29" s="1"/>
  <c r="F29"/>
  <c r="H64"/>
  <c r="G41"/>
  <c r="F41"/>
  <c r="H47"/>
  <c r="E47"/>
  <c r="F47" s="1"/>
  <c r="I75" l="1"/>
  <c r="H29"/>
  <c r="H75"/>
  <c r="H41"/>
  <c r="G69"/>
  <c r="G75" s="1"/>
  <c r="F75"/>
  <c r="G47"/>
  <c r="G52" s="1"/>
  <c r="F52"/>
  <c r="I47"/>
  <c r="I52" s="1"/>
  <c r="H52"/>
</calcChain>
</file>

<file path=xl/sharedStrings.xml><?xml version="1.0" encoding="utf-8"?>
<sst xmlns="http://schemas.openxmlformats.org/spreadsheetml/2006/main" count="579" uniqueCount="134">
  <si>
    <t>Target pH</t>
  </si>
  <si>
    <t>pH</t>
  </si>
  <si>
    <t xml:space="preserve">Corn </t>
  </si>
  <si>
    <t>Soybeans</t>
  </si>
  <si>
    <t>Alfalfa</t>
  </si>
  <si>
    <t>K</t>
  </si>
  <si>
    <t>CEC</t>
  </si>
  <si>
    <t>CL-P</t>
  </si>
  <si>
    <t>CL-K</t>
  </si>
  <si>
    <t>removal-P2O5</t>
  </si>
  <si>
    <t>Corn-Silage</t>
  </si>
  <si>
    <t>Bu</t>
  </si>
  <si>
    <t>Ton</t>
  </si>
  <si>
    <t>removal-K2O</t>
  </si>
  <si>
    <t>Field Name</t>
  </si>
  <si>
    <t>Crop</t>
  </si>
  <si>
    <t>OM</t>
  </si>
  <si>
    <t>Ca</t>
  </si>
  <si>
    <t>Mg</t>
  </si>
  <si>
    <t>Year</t>
  </si>
  <si>
    <t>ppm</t>
  </si>
  <si>
    <t>pounds per acre</t>
  </si>
  <si>
    <t>Fertilizer Recommendation</t>
  </si>
  <si>
    <t>P2O5</t>
  </si>
  <si>
    <t>CL</t>
  </si>
  <si>
    <t>STL</t>
  </si>
  <si>
    <t>YP</t>
  </si>
  <si>
    <t>CR</t>
  </si>
  <si>
    <t>Build</t>
  </si>
  <si>
    <t>K2O</t>
  </si>
  <si>
    <t>Lime</t>
  </si>
  <si>
    <t>Phosphorous</t>
  </si>
  <si>
    <t>Yield Goal</t>
  </si>
  <si>
    <t>Rate</t>
  </si>
  <si>
    <t>Maintenance</t>
  </si>
  <si>
    <t>Drawdown</t>
  </si>
  <si>
    <t>ML-P</t>
  </si>
  <si>
    <t>ML</t>
  </si>
  <si>
    <t>Wheat (Grain Only)</t>
  </si>
  <si>
    <t>Wheat (Grain &amp; Straw)</t>
  </si>
  <si>
    <t>Units</t>
  </si>
  <si>
    <t>Phos</t>
  </si>
  <si>
    <t>Pot</t>
  </si>
  <si>
    <t>Potassium</t>
  </si>
  <si>
    <t>ML-K</t>
  </si>
  <si>
    <t>Soil Test Information</t>
  </si>
  <si>
    <t>forage</t>
  </si>
  <si>
    <t>Cropping Information</t>
  </si>
  <si>
    <t>pH=6.8</t>
  </si>
  <si>
    <t>pH=6.5</t>
  </si>
  <si>
    <t>pH=6.0</t>
  </si>
  <si>
    <t>BpH</t>
  </si>
  <si>
    <t>Field 1</t>
  </si>
  <si>
    <t>Field 2</t>
  </si>
  <si>
    <t>Field 3</t>
  </si>
  <si>
    <t>Field 4</t>
  </si>
  <si>
    <t>Field 5</t>
  </si>
  <si>
    <t>Field 6</t>
  </si>
  <si>
    <t>Field 7</t>
  </si>
  <si>
    <t>forageover300</t>
  </si>
  <si>
    <t>Fertility Recommendation Calculator</t>
  </si>
  <si>
    <t>Developed by:</t>
  </si>
  <si>
    <t>Greg LaBarge</t>
  </si>
  <si>
    <t>Ohio State University Extension</t>
  </si>
  <si>
    <t>labarge.1@osu.edu</t>
  </si>
  <si>
    <t xml:space="preserve">Crop </t>
  </si>
  <si>
    <t>Total</t>
  </si>
  <si>
    <t>P2O5 in Pounds/Acre</t>
  </si>
  <si>
    <t>K2O in Pounds/Acre</t>
  </si>
  <si>
    <t xml:space="preserve"> in Tons/Acre</t>
  </si>
  <si>
    <t>Field Specialist, Agronomic Systems</t>
  </si>
  <si>
    <t>adjust</t>
  </si>
  <si>
    <t>Acres</t>
  </si>
  <si>
    <t>Lime ENP=2000</t>
  </si>
  <si>
    <t>$/Ton</t>
  </si>
  <si>
    <t xml:space="preserve">Total Material </t>
  </si>
  <si>
    <t xml:space="preserve">Cost Material </t>
  </si>
  <si>
    <t xml:space="preserve">Material </t>
  </si>
  <si>
    <t>ENP</t>
  </si>
  <si>
    <t>Material Cost</t>
  </si>
  <si>
    <t>Spreader Cost</t>
  </si>
  <si>
    <t>$/Ac</t>
  </si>
  <si>
    <t>for Field in Tons</t>
  </si>
  <si>
    <t>Total $</t>
  </si>
  <si>
    <t>Total Lime Cost</t>
  </si>
  <si>
    <t>Tons/Acre</t>
  </si>
  <si>
    <t>Recommended</t>
  </si>
  <si>
    <t>In Tons/Acre</t>
  </si>
  <si>
    <t>Actual *</t>
  </si>
  <si>
    <t>for Field Total $</t>
  </si>
  <si>
    <t>Needed</t>
  </si>
  <si>
    <t>Primary P</t>
  </si>
  <si>
    <t>Primary K</t>
  </si>
  <si>
    <t>N</t>
  </si>
  <si>
    <t>Cost per Ton</t>
  </si>
  <si>
    <t>Pound Fertilizer per Acre to meet need</t>
  </si>
  <si>
    <t>Total Product Need in Pounds</t>
  </si>
  <si>
    <t>Total Product needed in Tons</t>
  </si>
  <si>
    <t>Cost per acre</t>
  </si>
  <si>
    <t xml:space="preserve">Cost per field </t>
  </si>
  <si>
    <t>Fertilizer Used</t>
  </si>
  <si>
    <t xml:space="preserve">Crop Year </t>
  </si>
  <si>
    <t xml:space="preserve"> Leave blank if no change</t>
  </si>
  <si>
    <t>*Note:</t>
  </si>
  <si>
    <t>Buffer pH</t>
  </si>
  <si>
    <t xml:space="preserve">http://www.extension.purdue.edu/extmedia/AY/AY-9-32.pdf </t>
  </si>
  <si>
    <t>Mehlich III</t>
  </si>
  <si>
    <t>Bray 1</t>
  </si>
  <si>
    <t>To Begin Click Start=====&gt;</t>
  </si>
  <si>
    <t>Please select before proceeding</t>
  </si>
  <si>
    <t>Report for:</t>
  </si>
  <si>
    <t>Prepared by:</t>
  </si>
  <si>
    <t>P</t>
  </si>
  <si>
    <t xml:space="preserve">If error "Select Units" or "Select Test" return to </t>
  </si>
  <si>
    <t>PPM</t>
  </si>
  <si>
    <t>Bray P1</t>
  </si>
  <si>
    <t>Report For:</t>
  </si>
  <si>
    <t xml:space="preserve"> Do not apply more than 2 tons in a single year you can adjust rate for less than the recommended amount.</t>
  </si>
  <si>
    <t>Note for all sheets that light gray areas for data entry &amp; white areas show results</t>
  </si>
  <si>
    <t>Introduction page and make selections</t>
  </si>
  <si>
    <t>Understanding Soil Test for Plant Available Phosphorus</t>
  </si>
  <si>
    <t>http://agcrops.osu.edu/specialists/fertility/fertility-fact-sheets-and-bulletins/Soil_Tests.pdf</t>
  </si>
  <si>
    <t>Sources:</t>
  </si>
  <si>
    <r>
      <t xml:space="preserve">Vitosh, M.L., J.W. Johnson, and D.B. Mengel (eds.). 1996. </t>
    </r>
    <r>
      <rPr>
        <i/>
        <sz val="10"/>
        <rFont val="Arial"/>
        <family val="2"/>
      </rPr>
      <t>Tri-State Fertilizer Recommendations</t>
    </r>
    <r>
      <rPr>
        <sz val="10"/>
        <rFont val="Arial"/>
        <family val="2"/>
      </rPr>
      <t xml:space="preserve"> </t>
    </r>
  </si>
  <si>
    <t>Reviewed by:</t>
  </si>
  <si>
    <t>Extension Specialist, Soil Fertiltiy</t>
  </si>
  <si>
    <t>culman.2@osu.edu</t>
  </si>
  <si>
    <t>Dr. Steve Culman</t>
  </si>
  <si>
    <r>
      <rPr>
        <b/>
        <sz val="14"/>
        <color theme="0"/>
        <rFont val="Arial"/>
        <family val="2"/>
      </rPr>
      <t>Test</t>
    </r>
    <r>
      <rPr>
        <sz val="14"/>
        <color theme="0"/>
        <rFont val="Arial"/>
        <family val="2"/>
      </rPr>
      <t xml:space="preserve"> Used to report Phosphorus results (From soil test report or call lab)</t>
    </r>
  </si>
  <si>
    <r>
      <rPr>
        <b/>
        <sz val="14"/>
        <color theme="0"/>
        <rFont val="Arial"/>
        <family val="2"/>
      </rPr>
      <t>Units</t>
    </r>
    <r>
      <rPr>
        <sz val="14"/>
        <color theme="0"/>
        <rFont val="Arial"/>
        <family val="2"/>
      </rPr>
      <t xml:space="preserve"> Used to Report P&amp;K Results (From soil test report or call lab)</t>
    </r>
  </si>
  <si>
    <r>
      <rPr>
        <i/>
        <sz val="10"/>
        <rFont val="Arial"/>
        <family val="2"/>
      </rPr>
      <t>for Corn, Soybeans, Wheat, and Alfalfa.</t>
    </r>
    <r>
      <rPr>
        <sz val="10"/>
        <rFont val="Arial"/>
        <family val="2"/>
      </rPr>
      <t xml:space="preserve"> Ext. Bull. E-2567, </t>
    </r>
  </si>
  <si>
    <t>Rep. August 1996. Mich. State Univ., E. Lansing, MI.</t>
  </si>
  <si>
    <t>Version 2014-1. Published 5/2014</t>
  </si>
  <si>
    <r>
      <t>This spreadsheet calculates fertilizer application rates and costs for major field crops in Ohio. Users should start by selecting phosphorous test and unit by clicking on box and making selection using down arrow on right side of box. Users can then enter crops, yield goals and soil tests results in the "</t>
    </r>
    <r>
      <rPr>
        <b/>
        <sz val="12"/>
        <rFont val="Arial"/>
        <family val="2"/>
      </rPr>
      <t>Input</t>
    </r>
    <r>
      <rPr>
        <sz val="12"/>
        <rFont val="Arial"/>
        <family val="2"/>
      </rPr>
      <t xml:space="preserve"> </t>
    </r>
    <r>
      <rPr>
        <b/>
        <sz val="12"/>
        <rFont val="Arial"/>
        <family val="2"/>
      </rPr>
      <t>Information</t>
    </r>
    <r>
      <rPr>
        <sz val="12"/>
        <rFont val="Arial"/>
        <family val="2"/>
      </rPr>
      <t>" tab. Soil fertilizer application rates are summarized in the "</t>
    </r>
    <r>
      <rPr>
        <b/>
        <sz val="12"/>
        <rFont val="Arial"/>
        <family val="2"/>
      </rPr>
      <t>Recommendation Summary</t>
    </r>
    <r>
      <rPr>
        <sz val="12"/>
        <rFont val="Arial"/>
        <family val="2"/>
      </rPr>
      <t>" tab, or reported individually  with cost on the "</t>
    </r>
    <r>
      <rPr>
        <b/>
        <sz val="12"/>
        <rFont val="Arial"/>
        <family val="2"/>
      </rPr>
      <t>lime</t>
    </r>
    <r>
      <rPr>
        <sz val="12"/>
        <rFont val="Arial"/>
        <family val="2"/>
      </rPr>
      <t>" and "</t>
    </r>
    <r>
      <rPr>
        <b/>
        <sz val="12"/>
        <rFont val="Arial"/>
        <family val="2"/>
      </rPr>
      <t>fertilizer</t>
    </r>
    <r>
      <rPr>
        <sz val="12"/>
        <rFont val="Arial"/>
        <family val="2"/>
      </rPr>
      <t>" tabs. All calculations are based on the "</t>
    </r>
    <r>
      <rPr>
        <i/>
        <sz val="12"/>
        <rFont val="Arial"/>
        <family val="2"/>
      </rPr>
      <t>Tri-State Fertilizer Recommendations for Corn, Soybeans, Wheat and Alfalfa</t>
    </r>
    <r>
      <rPr>
        <sz val="12"/>
        <rFont val="Arial"/>
        <family val="2"/>
      </rPr>
      <t>.</t>
    </r>
  </si>
</sst>
</file>

<file path=xl/styles.xml><?xml version="1.0" encoding="utf-8"?>
<styleSheet xmlns="http://schemas.openxmlformats.org/spreadsheetml/2006/main">
  <numFmts count="3">
    <numFmt numFmtId="44" formatCode="_(&quot;$&quot;* #,##0.00_);_(&quot;$&quot;* \(#,##0.00\);_(&quot;$&quot;* &quot;-&quot;??_);_(@_)"/>
    <numFmt numFmtId="43" formatCode="_(* #,##0.00_);_(* \(#,##0.00\);_(* &quot;-&quot;??_);_(@_)"/>
    <numFmt numFmtId="164" formatCode="0.0"/>
  </numFmts>
  <fonts count="30">
    <font>
      <sz val="10"/>
      <name val="Arial"/>
    </font>
    <font>
      <sz val="8"/>
      <name val="Arial"/>
      <family val="2"/>
    </font>
    <font>
      <sz val="10"/>
      <name val="Arial"/>
      <family val="2"/>
    </font>
    <font>
      <sz val="10"/>
      <color theme="0" tint="-0.249977111117893"/>
      <name val="Arial"/>
      <family val="2"/>
    </font>
    <font>
      <b/>
      <sz val="10"/>
      <color rgb="FFFF0000"/>
      <name val="Arial"/>
      <family val="2"/>
    </font>
    <font>
      <sz val="10"/>
      <color theme="0"/>
      <name val="Arial"/>
      <family val="2"/>
    </font>
    <font>
      <sz val="12"/>
      <color theme="0"/>
      <name val="Arial"/>
      <family val="2"/>
    </font>
    <font>
      <sz val="12"/>
      <name val="Arial"/>
      <family val="2"/>
    </font>
    <font>
      <sz val="12"/>
      <color rgb="FFFF0000"/>
      <name val="Arial"/>
      <family val="2"/>
    </font>
    <font>
      <sz val="12"/>
      <color theme="0" tint="-0.249977111117893"/>
      <name val="Arial"/>
      <family val="2"/>
    </font>
    <font>
      <u/>
      <sz val="10"/>
      <color theme="10"/>
      <name val="Arial"/>
      <family val="2"/>
    </font>
    <font>
      <u/>
      <sz val="12"/>
      <color theme="10"/>
      <name val="Arial"/>
      <family val="2"/>
    </font>
    <font>
      <b/>
      <sz val="10"/>
      <color rgb="FF000000"/>
      <name val="Arial"/>
      <family val="2"/>
    </font>
    <font>
      <sz val="14"/>
      <name val="Arial"/>
      <family val="2"/>
    </font>
    <font>
      <sz val="10"/>
      <name val="Arial"/>
      <family val="2"/>
    </font>
    <font>
      <b/>
      <sz val="10"/>
      <name val="Arial"/>
      <family val="2"/>
    </font>
    <font>
      <b/>
      <sz val="10"/>
      <color theme="0"/>
      <name val="Arial"/>
      <family val="2"/>
    </font>
    <font>
      <sz val="12"/>
      <color theme="1"/>
      <name val="Arial"/>
      <family val="2"/>
    </font>
    <font>
      <b/>
      <sz val="14"/>
      <color theme="0"/>
      <name val="Arial"/>
      <family val="2"/>
    </font>
    <font>
      <sz val="14"/>
      <color theme="0"/>
      <name val="Arial"/>
      <family val="2"/>
    </font>
    <font>
      <i/>
      <sz val="10"/>
      <name val="Arial"/>
      <family val="2"/>
    </font>
    <font>
      <b/>
      <i/>
      <sz val="14"/>
      <name val="Arial"/>
      <family val="2"/>
    </font>
    <font>
      <sz val="12"/>
      <color rgb="FFC00000"/>
      <name val="Arial"/>
      <family val="2"/>
    </font>
    <font>
      <i/>
      <sz val="14"/>
      <color rgb="FFC00000"/>
      <name val="Arial"/>
      <family val="2"/>
    </font>
    <font>
      <sz val="16"/>
      <name val="Arial"/>
      <family val="2"/>
    </font>
    <font>
      <b/>
      <sz val="12"/>
      <color theme="0"/>
      <name val="Arial"/>
      <family val="2"/>
    </font>
    <font>
      <sz val="14"/>
      <color rgb="FFC00000"/>
      <name val="Arial"/>
      <family val="2"/>
    </font>
    <font>
      <sz val="14"/>
      <color rgb="FF000000"/>
      <name val="Arial Black"/>
      <family val="2"/>
    </font>
    <font>
      <i/>
      <sz val="12"/>
      <name val="Arial"/>
      <family val="2"/>
    </font>
    <font>
      <b/>
      <sz val="12"/>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C00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0"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cellStyleXfs>
  <cellXfs count="272">
    <xf numFmtId="0" fontId="0" fillId="0" borderId="0" xfId="0"/>
    <xf numFmtId="0" fontId="0" fillId="0" borderId="0" xfId="0" applyFill="1"/>
    <xf numFmtId="1" fontId="0" fillId="0" borderId="0" xfId="0" applyNumberFormat="1"/>
    <xf numFmtId="0" fontId="2" fillId="0" borderId="0" xfId="0" applyFont="1"/>
    <xf numFmtId="2" fontId="0" fillId="0" borderId="0" xfId="0" applyNumberFormat="1" applyAlignment="1">
      <alignment horizontal="center"/>
    </xf>
    <xf numFmtId="0" fontId="0" fillId="0" borderId="5" xfId="0" applyBorder="1"/>
    <xf numFmtId="0" fontId="0" fillId="0" borderId="0" xfId="0" applyBorder="1"/>
    <xf numFmtId="0" fontId="2" fillId="0" borderId="6" xfId="0" applyFont="1" applyBorder="1"/>
    <xf numFmtId="0" fontId="2" fillId="0" borderId="5" xfId="0" applyFont="1" applyBorder="1"/>
    <xf numFmtId="1" fontId="0" fillId="0" borderId="5" xfId="0" applyNumberFormat="1" applyBorder="1"/>
    <xf numFmtId="0" fontId="0" fillId="0" borderId="7" xfId="0" applyBorder="1"/>
    <xf numFmtId="0" fontId="2" fillId="0" borderId="8" xfId="0" applyFont="1" applyBorder="1"/>
    <xf numFmtId="0" fontId="2" fillId="0" borderId="0" xfId="0" applyFont="1" applyBorder="1"/>
    <xf numFmtId="1" fontId="0" fillId="0" borderId="0" xfId="0" applyNumberFormat="1" applyBorder="1"/>
    <xf numFmtId="0" fontId="0" fillId="0" borderId="9" xfId="0" applyBorder="1"/>
    <xf numFmtId="0" fontId="2" fillId="0" borderId="10" xfId="0" applyFont="1" applyBorder="1"/>
    <xf numFmtId="0" fontId="2" fillId="0" borderId="11" xfId="0" applyFont="1" applyBorder="1"/>
    <xf numFmtId="0" fontId="0" fillId="0" borderId="11" xfId="0" applyBorder="1"/>
    <xf numFmtId="1" fontId="0" fillId="0" borderId="11" xfId="0" applyNumberFormat="1" applyBorder="1"/>
    <xf numFmtId="0" fontId="0" fillId="0" borderId="12" xfId="0" applyBorder="1"/>
    <xf numFmtId="1" fontId="2" fillId="0" borderId="5" xfId="0" applyNumberFormat="1" applyFont="1" applyBorder="1"/>
    <xf numFmtId="1" fontId="2" fillId="0" borderId="0" xfId="0" applyNumberFormat="1" applyFont="1" applyBorder="1"/>
    <xf numFmtId="1" fontId="2" fillId="0" borderId="11" xfId="0" applyNumberFormat="1" applyFont="1" applyBorder="1"/>
    <xf numFmtId="1" fontId="0" fillId="0" borderId="5" xfId="0" applyNumberFormat="1" applyBorder="1" applyAlignment="1">
      <alignment horizontal="right"/>
    </xf>
    <xf numFmtId="1" fontId="0" fillId="0" borderId="0" xfId="0" applyNumberFormat="1" applyBorder="1" applyAlignment="1">
      <alignment horizontal="right"/>
    </xf>
    <xf numFmtId="1" fontId="0" fillId="0" borderId="11" xfId="0" applyNumberFormat="1" applyBorder="1" applyAlignment="1">
      <alignment horizontal="right"/>
    </xf>
    <xf numFmtId="0" fontId="0" fillId="0" borderId="0" xfId="0" applyAlignment="1">
      <alignment horizontal="right"/>
    </xf>
    <xf numFmtId="1" fontId="2" fillId="0" borderId="5" xfId="0" applyNumberFormat="1" applyFont="1" applyBorder="1" applyAlignment="1">
      <alignment horizontal="right"/>
    </xf>
    <xf numFmtId="1" fontId="2" fillId="0" borderId="0" xfId="0" applyNumberFormat="1" applyFont="1" applyBorder="1" applyAlignment="1">
      <alignment horizontal="right"/>
    </xf>
    <xf numFmtId="1" fontId="2" fillId="0" borderId="11" xfId="0" applyNumberFormat="1" applyFont="1" applyBorder="1" applyAlignment="1">
      <alignment horizontal="right"/>
    </xf>
    <xf numFmtId="0" fontId="2" fillId="0" borderId="0" xfId="0" applyFont="1" applyFill="1"/>
    <xf numFmtId="0" fontId="0" fillId="0" borderId="0" xfId="0" applyFill="1" applyBorder="1"/>
    <xf numFmtId="1" fontId="2" fillId="0" borderId="5" xfId="0" applyNumberFormat="1" applyFont="1" applyFill="1" applyBorder="1"/>
    <xf numFmtId="0" fontId="2" fillId="0" borderId="5" xfId="0" applyFont="1" applyFill="1" applyBorder="1"/>
    <xf numFmtId="1" fontId="0" fillId="0" borderId="5" xfId="0" applyNumberFormat="1" applyFill="1" applyBorder="1"/>
    <xf numFmtId="0" fontId="0" fillId="0" borderId="5" xfId="0" applyFill="1" applyBorder="1"/>
    <xf numFmtId="1" fontId="2" fillId="0" borderId="0" xfId="0" applyNumberFormat="1" applyFont="1" applyFill="1" applyBorder="1"/>
    <xf numFmtId="0" fontId="2" fillId="0" borderId="0" xfId="0" applyFont="1" applyFill="1" applyBorder="1"/>
    <xf numFmtId="1" fontId="0" fillId="0" borderId="0" xfId="0" applyNumberFormat="1" applyFill="1" applyBorder="1"/>
    <xf numFmtId="1" fontId="2" fillId="0" borderId="11" xfId="0" applyNumberFormat="1" applyFont="1" applyFill="1" applyBorder="1"/>
    <xf numFmtId="0" fontId="2" fillId="0" borderId="11" xfId="0" applyFont="1" applyFill="1" applyBorder="1"/>
    <xf numFmtId="1" fontId="0" fillId="0" borderId="11" xfId="0" applyNumberFormat="1" applyFill="1" applyBorder="1"/>
    <xf numFmtId="0" fontId="0" fillId="0" borderId="11" xfId="0" applyFill="1" applyBorder="1"/>
    <xf numFmtId="164" fontId="0" fillId="0" borderId="0" xfId="0" applyNumberFormat="1"/>
    <xf numFmtId="1" fontId="0" fillId="0" borderId="7" xfId="0" applyNumberFormat="1" applyBorder="1"/>
    <xf numFmtId="1" fontId="0" fillId="0" borderId="9" xfId="0" applyNumberFormat="1" applyBorder="1"/>
    <xf numFmtId="1" fontId="0" fillId="0" borderId="12" xfId="0" applyNumberFormat="1" applyBorder="1"/>
    <xf numFmtId="164" fontId="0" fillId="0" borderId="2" xfId="0" applyNumberFormat="1" applyBorder="1"/>
    <xf numFmtId="164" fontId="0" fillId="0" borderId="3" xfId="0" applyNumberFormat="1" applyFill="1" applyBorder="1"/>
    <xf numFmtId="164" fontId="0" fillId="0" borderId="4" xfId="0" applyNumberFormat="1" applyFill="1" applyBorder="1"/>
    <xf numFmtId="0" fontId="4" fillId="0" borderId="0" xfId="0" applyFont="1"/>
    <xf numFmtId="1" fontId="0" fillId="0" borderId="7" xfId="0" applyNumberFormat="1" applyBorder="1" applyAlignment="1">
      <alignment horizontal="right"/>
    </xf>
    <xf numFmtId="1" fontId="0" fillId="0" borderId="9" xfId="0" applyNumberFormat="1" applyBorder="1" applyAlignment="1">
      <alignment horizontal="right"/>
    </xf>
    <xf numFmtId="1" fontId="0" fillId="0" borderId="12" xfId="0" applyNumberFormat="1" applyBorder="1" applyAlignment="1">
      <alignment horizontal="right"/>
    </xf>
    <xf numFmtId="0" fontId="5" fillId="4" borderId="0" xfId="0" applyFont="1" applyFill="1"/>
    <xf numFmtId="0" fontId="3" fillId="5" borderId="14" xfId="0" applyFont="1" applyFill="1" applyBorder="1"/>
    <xf numFmtId="0" fontId="3" fillId="5" borderId="15" xfId="0" applyFont="1" applyFill="1" applyBorder="1"/>
    <xf numFmtId="0" fontId="3" fillId="5" borderId="16" xfId="0" applyFont="1" applyFill="1" applyBorder="1"/>
    <xf numFmtId="0" fontId="7" fillId="3" borderId="1" xfId="0" applyFont="1" applyFill="1" applyBorder="1" applyProtection="1">
      <protection locked="0"/>
    </xf>
    <xf numFmtId="0" fontId="7" fillId="0" borderId="1" xfId="0" applyFont="1" applyBorder="1"/>
    <xf numFmtId="1" fontId="7" fillId="3" borderId="1" xfId="0" applyNumberFormat="1" applyFont="1" applyFill="1" applyBorder="1" applyAlignment="1" applyProtection="1">
      <alignment horizontal="center"/>
      <protection locked="0"/>
    </xf>
    <xf numFmtId="164" fontId="7" fillId="3" borderId="4" xfId="0" applyNumberFormat="1" applyFont="1" applyFill="1" applyBorder="1" applyAlignment="1" applyProtection="1">
      <alignment horizontal="center"/>
      <protection locked="0"/>
    </xf>
    <xf numFmtId="164" fontId="7" fillId="3" borderId="1" xfId="0" applyNumberFormat="1" applyFont="1" applyFill="1" applyBorder="1" applyAlignment="1" applyProtection="1">
      <alignment horizontal="center"/>
      <protection locked="0"/>
    </xf>
    <xf numFmtId="1" fontId="7" fillId="0" borderId="1" xfId="0" applyNumberFormat="1" applyFont="1" applyBorder="1" applyAlignment="1">
      <alignment horizontal="center"/>
    </xf>
    <xf numFmtId="164" fontId="7" fillId="0" borderId="1" xfId="0" applyNumberFormat="1" applyFont="1" applyBorder="1" applyAlignment="1">
      <alignment horizontal="center"/>
    </xf>
    <xf numFmtId="1" fontId="7" fillId="0" borderId="1" xfId="0" applyNumberFormat="1" applyFont="1" applyBorder="1" applyProtection="1"/>
    <xf numFmtId="1" fontId="7" fillId="0" borderId="13" xfId="0" applyNumberFormat="1" applyFont="1" applyBorder="1" applyProtection="1"/>
    <xf numFmtId="0" fontId="7" fillId="3" borderId="13" xfId="0" applyFont="1" applyFill="1" applyBorder="1" applyProtection="1">
      <protection locked="0"/>
    </xf>
    <xf numFmtId="0" fontId="7" fillId="5" borderId="14" xfId="0" applyFont="1" applyFill="1" applyBorder="1"/>
    <xf numFmtId="0" fontId="7" fillId="5" borderId="15" xfId="0" applyFont="1" applyFill="1" applyBorder="1" applyProtection="1"/>
    <xf numFmtId="0" fontId="7" fillId="5" borderId="15" xfId="0" applyFont="1" applyFill="1" applyBorder="1" applyProtection="1">
      <protection locked="0"/>
    </xf>
    <xf numFmtId="0" fontId="8" fillId="5" borderId="15" xfId="0" applyFont="1" applyFill="1" applyBorder="1"/>
    <xf numFmtId="164" fontId="9" fillId="5" borderId="15" xfId="0" applyNumberFormat="1" applyFont="1" applyFill="1" applyBorder="1"/>
    <xf numFmtId="0" fontId="8" fillId="5" borderId="16" xfId="0" applyFont="1" applyFill="1" applyBorder="1"/>
    <xf numFmtId="0" fontId="7" fillId="3" borderId="17" xfId="0" applyFont="1" applyFill="1" applyBorder="1" applyProtection="1">
      <protection locked="0"/>
    </xf>
    <xf numFmtId="0" fontId="7" fillId="3" borderId="17" xfId="0" applyFont="1" applyFill="1" applyBorder="1" applyAlignment="1" applyProtection="1">
      <alignment horizontal="center"/>
      <protection locked="0"/>
    </xf>
    <xf numFmtId="164" fontId="7" fillId="3" borderId="17" xfId="0" applyNumberFormat="1" applyFont="1" applyFill="1" applyBorder="1" applyAlignment="1" applyProtection="1">
      <alignment horizontal="center"/>
      <protection locked="0"/>
    </xf>
    <xf numFmtId="0" fontId="7" fillId="3" borderId="10" xfId="0" applyFont="1" applyFill="1" applyBorder="1" applyAlignment="1" applyProtection="1">
      <alignment horizontal="center"/>
      <protection locked="0"/>
    </xf>
    <xf numFmtId="1" fontId="7" fillId="0" borderId="17" xfId="0" applyNumberFormat="1" applyFont="1" applyBorder="1" applyAlignment="1">
      <alignment horizontal="center"/>
    </xf>
    <xf numFmtId="0" fontId="7" fillId="3" borderId="1" xfId="0" applyFont="1" applyFill="1" applyBorder="1" applyAlignment="1" applyProtection="1">
      <alignment horizontal="center"/>
      <protection locked="0"/>
    </xf>
    <xf numFmtId="0" fontId="9" fillId="5" borderId="14" xfId="0" applyFont="1" applyFill="1" applyBorder="1"/>
    <xf numFmtId="0" fontId="9" fillId="5" borderId="15" xfId="0" applyFont="1" applyFill="1" applyBorder="1" applyProtection="1"/>
    <xf numFmtId="0" fontId="9" fillId="5" borderId="15" xfId="0" applyFont="1" applyFill="1" applyBorder="1" applyProtection="1">
      <protection locked="0"/>
    </xf>
    <xf numFmtId="0" fontId="9" fillId="5" borderId="15" xfId="0" applyFont="1" applyFill="1" applyBorder="1"/>
    <xf numFmtId="0" fontId="9" fillId="5" borderId="16" xfId="0" applyFont="1" applyFill="1" applyBorder="1"/>
    <xf numFmtId="0" fontId="7" fillId="0" borderId="0" xfId="0" applyFont="1"/>
    <xf numFmtId="0" fontId="11" fillId="0" borderId="0" xfId="1" applyFont="1"/>
    <xf numFmtId="0" fontId="6" fillId="6" borderId="15" xfId="0" applyFont="1" applyFill="1" applyBorder="1"/>
    <xf numFmtId="0" fontId="7" fillId="0" borderId="3" xfId="0" applyFont="1" applyBorder="1"/>
    <xf numFmtId="0" fontId="13" fillId="0" borderId="0" xfId="0" applyFont="1"/>
    <xf numFmtId="0" fontId="6" fillId="8" borderId="19" xfId="0" applyFont="1" applyFill="1" applyBorder="1"/>
    <xf numFmtId="1" fontId="6" fillId="6" borderId="19" xfId="0" applyNumberFormat="1" applyFont="1" applyFill="1" applyBorder="1" applyAlignment="1">
      <alignment horizontal="center"/>
    </xf>
    <xf numFmtId="1" fontId="7" fillId="0" borderId="0" xfId="0" applyNumberFormat="1" applyFont="1" applyBorder="1"/>
    <xf numFmtId="0" fontId="7" fillId="0" borderId="0" xfId="0" applyFont="1" applyBorder="1"/>
    <xf numFmtId="0" fontId="7" fillId="7" borderId="21" xfId="0" applyFont="1" applyFill="1" applyBorder="1"/>
    <xf numFmtId="0" fontId="7" fillId="7" borderId="24" xfId="0" applyFont="1" applyFill="1" applyBorder="1"/>
    <xf numFmtId="0" fontId="7" fillId="0" borderId="0" xfId="0" applyFont="1" applyFill="1" applyBorder="1"/>
    <xf numFmtId="1" fontId="7" fillId="0" borderId="0" xfId="0" applyNumberFormat="1" applyFont="1" applyFill="1" applyBorder="1"/>
    <xf numFmtId="1" fontId="7" fillId="7" borderId="21" xfId="0" applyNumberFormat="1" applyFont="1" applyFill="1" applyBorder="1" applyAlignment="1">
      <alignment horizontal="center"/>
    </xf>
    <xf numFmtId="0" fontId="7" fillId="7" borderId="21" xfId="0" applyFont="1" applyFill="1" applyBorder="1" applyAlignment="1">
      <alignment horizontal="center"/>
    </xf>
    <xf numFmtId="164" fontId="7" fillId="7" borderId="22" xfId="0" applyNumberFormat="1" applyFont="1" applyFill="1" applyBorder="1" applyAlignment="1">
      <alignment horizontal="center"/>
    </xf>
    <xf numFmtId="0" fontId="7" fillId="0" borderId="3" xfId="0" applyFont="1" applyBorder="1" applyAlignment="1">
      <alignment horizontal="center"/>
    </xf>
    <xf numFmtId="1" fontId="7" fillId="0" borderId="3" xfId="0" applyNumberFormat="1" applyFont="1" applyBorder="1" applyAlignment="1">
      <alignment horizontal="center"/>
    </xf>
    <xf numFmtId="0" fontId="7" fillId="0" borderId="23" xfId="0" applyFont="1" applyBorder="1" applyAlignment="1">
      <alignment horizontal="center"/>
    </xf>
    <xf numFmtId="0" fontId="7" fillId="7" borderId="24" xfId="0" applyFont="1" applyFill="1" applyBorder="1" applyAlignment="1">
      <alignment horizontal="center"/>
    </xf>
    <xf numFmtId="1" fontId="7" fillId="7" borderId="24" xfId="0" applyNumberFormat="1" applyFont="1" applyFill="1" applyBorder="1" applyAlignment="1">
      <alignment horizontal="center"/>
    </xf>
    <xf numFmtId="0" fontId="7" fillId="7" borderId="25" xfId="0" applyFont="1" applyFill="1" applyBorder="1" applyAlignment="1">
      <alignment horizontal="center"/>
    </xf>
    <xf numFmtId="164" fontId="8" fillId="5" borderId="15" xfId="0" applyNumberFormat="1" applyFont="1" applyFill="1" applyBorder="1"/>
    <xf numFmtId="0" fontId="0" fillId="0" borderId="3" xfId="0" applyBorder="1"/>
    <xf numFmtId="0" fontId="0" fillId="0" borderId="3" xfId="0" applyFill="1" applyBorder="1"/>
    <xf numFmtId="0" fontId="2" fillId="0" borderId="3" xfId="0" applyFont="1" applyFill="1" applyBorder="1"/>
    <xf numFmtId="0" fontId="7" fillId="5" borderId="15" xfId="0" applyFont="1" applyFill="1" applyBorder="1"/>
    <xf numFmtId="0" fontId="7" fillId="6" borderId="0" xfId="0" applyFont="1" applyFill="1" applyBorder="1"/>
    <xf numFmtId="0" fontId="7" fillId="6" borderId="1" xfId="0" applyFont="1" applyFill="1" applyBorder="1"/>
    <xf numFmtId="0" fontId="6" fillId="6" borderId="1" xfId="0" applyFont="1" applyFill="1" applyBorder="1"/>
    <xf numFmtId="0" fontId="7" fillId="7" borderId="1" xfId="0" applyFont="1" applyFill="1" applyBorder="1" applyAlignment="1">
      <alignment horizontal="left"/>
    </xf>
    <xf numFmtId="0" fontId="7" fillId="7" borderId="1" xfId="0" applyFont="1" applyFill="1" applyBorder="1"/>
    <xf numFmtId="44" fontId="7" fillId="0" borderId="1" xfId="3" applyFont="1" applyBorder="1"/>
    <xf numFmtId="0" fontId="7" fillId="6" borderId="29" xfId="0" applyFont="1" applyFill="1" applyBorder="1"/>
    <xf numFmtId="0" fontId="15" fillId="6" borderId="1" xfId="0" applyFont="1" applyFill="1" applyBorder="1"/>
    <xf numFmtId="164" fontId="7" fillId="6" borderId="28" xfId="0" applyNumberFormat="1" applyFont="1" applyFill="1" applyBorder="1"/>
    <xf numFmtId="0" fontId="7" fillId="3" borderId="26" xfId="0" applyFont="1" applyFill="1" applyBorder="1"/>
    <xf numFmtId="1" fontId="7" fillId="3" borderId="28" xfId="0" applyNumberFormat="1" applyFont="1" applyFill="1" applyBorder="1"/>
    <xf numFmtId="44" fontId="7" fillId="3" borderId="28" xfId="3" applyFont="1" applyFill="1" applyBorder="1"/>
    <xf numFmtId="0" fontId="7" fillId="2" borderId="1" xfId="0" applyFont="1" applyFill="1" applyBorder="1" applyAlignment="1">
      <alignment horizontal="left"/>
    </xf>
    <xf numFmtId="0" fontId="7" fillId="2" borderId="1" xfId="0" applyFont="1" applyFill="1" applyBorder="1"/>
    <xf numFmtId="164" fontId="7" fillId="2" borderId="1" xfId="0" applyNumberFormat="1" applyFont="1" applyFill="1" applyBorder="1" applyAlignment="1">
      <alignment horizontal="center"/>
    </xf>
    <xf numFmtId="1" fontId="7" fillId="2" borderId="1" xfId="0" applyNumberFormat="1" applyFont="1" applyFill="1" applyBorder="1"/>
    <xf numFmtId="44" fontId="7" fillId="2" borderId="1" xfId="3" applyFont="1" applyFill="1" applyBorder="1"/>
    <xf numFmtId="0" fontId="7" fillId="2" borderId="29" xfId="0" applyFont="1" applyFill="1" applyBorder="1"/>
    <xf numFmtId="164" fontId="7" fillId="2" borderId="29" xfId="0" applyNumberFormat="1" applyFont="1" applyFill="1" applyBorder="1" applyAlignment="1">
      <alignment horizontal="center"/>
    </xf>
    <xf numFmtId="1" fontId="7" fillId="2" borderId="29" xfId="0" applyNumberFormat="1" applyFont="1" applyFill="1" applyBorder="1"/>
    <xf numFmtId="44" fontId="7" fillId="2" borderId="29" xfId="3" applyFont="1" applyFill="1" applyBorder="1"/>
    <xf numFmtId="0" fontId="7" fillId="2" borderId="17" xfId="0" applyFont="1" applyFill="1" applyBorder="1" applyProtection="1"/>
    <xf numFmtId="44" fontId="7" fillId="2" borderId="1" xfId="0" applyNumberFormat="1" applyFont="1" applyFill="1" applyBorder="1"/>
    <xf numFmtId="44" fontId="7" fillId="2" borderId="29" xfId="0" applyNumberFormat="1" applyFont="1" applyFill="1" applyBorder="1"/>
    <xf numFmtId="0" fontId="15" fillId="6" borderId="13" xfId="0" applyFont="1" applyFill="1" applyBorder="1"/>
    <xf numFmtId="0" fontId="15" fillId="6" borderId="0" xfId="0" applyFont="1" applyFill="1" applyBorder="1"/>
    <xf numFmtId="0" fontId="16" fillId="6" borderId="0" xfId="0" applyFont="1" applyFill="1" applyBorder="1"/>
    <xf numFmtId="0" fontId="0" fillId="6" borderId="0" xfId="0" applyFill="1"/>
    <xf numFmtId="0" fontId="17" fillId="6" borderId="27" xfId="0" applyFont="1" applyFill="1" applyBorder="1"/>
    <xf numFmtId="0" fontId="6" fillId="6" borderId="1" xfId="0" applyFont="1" applyFill="1" applyBorder="1" applyAlignment="1">
      <alignment horizontal="center"/>
    </xf>
    <xf numFmtId="164" fontId="6" fillId="6" borderId="1" xfId="0" applyNumberFormat="1" applyFont="1" applyFill="1" applyBorder="1" applyAlignment="1">
      <alignment horizontal="center"/>
    </xf>
    <xf numFmtId="0" fontId="0" fillId="5" borderId="0" xfId="0" applyFill="1"/>
    <xf numFmtId="0" fontId="16" fillId="5" borderId="0" xfId="0" applyFont="1" applyFill="1" applyBorder="1"/>
    <xf numFmtId="0" fontId="15" fillId="5" borderId="0" xfId="0" applyFont="1" applyFill="1" applyBorder="1"/>
    <xf numFmtId="0" fontId="6" fillId="6" borderId="16" xfId="0" applyFont="1" applyFill="1" applyBorder="1" applyAlignment="1">
      <alignment horizontal="center"/>
    </xf>
    <xf numFmtId="0" fontId="6" fillId="6" borderId="19" xfId="0" applyFont="1" applyFill="1" applyBorder="1" applyAlignment="1">
      <alignment horizontal="center"/>
    </xf>
    <xf numFmtId="164" fontId="6" fillId="6" borderId="20" xfId="0" applyNumberFormat="1" applyFont="1" applyFill="1" applyBorder="1" applyAlignment="1">
      <alignment horizontal="center"/>
    </xf>
    <xf numFmtId="0" fontId="5" fillId="6" borderId="0" xfId="0" applyFont="1" applyFill="1"/>
    <xf numFmtId="0" fontId="0" fillId="0" borderId="0" xfId="0" applyAlignment="1">
      <alignment wrapText="1"/>
    </xf>
    <xf numFmtId="1" fontId="7" fillId="7" borderId="1" xfId="0" applyNumberFormat="1" applyFont="1" applyFill="1" applyBorder="1" applyAlignment="1">
      <alignment horizontal="center"/>
    </xf>
    <xf numFmtId="2" fontId="7" fillId="7" borderId="1" xfId="0" applyNumberFormat="1" applyFont="1" applyFill="1" applyBorder="1" applyAlignment="1">
      <alignment horizontal="center"/>
    </xf>
    <xf numFmtId="44" fontId="7" fillId="7" borderId="1" xfId="3" applyFont="1" applyFill="1" applyBorder="1" applyAlignment="1">
      <alignment horizontal="center"/>
    </xf>
    <xf numFmtId="1" fontId="7" fillId="6" borderId="1" xfId="0" applyNumberFormat="1" applyFont="1" applyFill="1" applyBorder="1"/>
    <xf numFmtId="0" fontId="6" fillId="6" borderId="1" xfId="0" applyFont="1" applyFill="1" applyBorder="1" applyAlignment="1">
      <alignment wrapText="1"/>
    </xf>
    <xf numFmtId="1" fontId="6" fillId="6" borderId="1" xfId="0" applyNumberFormat="1" applyFont="1" applyFill="1" applyBorder="1" applyAlignment="1">
      <alignment horizontal="center" wrapText="1"/>
    </xf>
    <xf numFmtId="1" fontId="7" fillId="7" borderId="4" xfId="0" applyNumberFormat="1" applyFont="1" applyFill="1" applyBorder="1" applyAlignment="1">
      <alignment horizontal="center"/>
    </xf>
    <xf numFmtId="2" fontId="7" fillId="0" borderId="1" xfId="0" applyNumberFormat="1" applyFont="1" applyBorder="1" applyAlignment="1">
      <alignment horizontal="center"/>
    </xf>
    <xf numFmtId="1" fontId="7" fillId="0" borderId="1" xfId="2" applyNumberFormat="1" applyFont="1" applyBorder="1" applyAlignment="1">
      <alignment horizontal="center"/>
    </xf>
    <xf numFmtId="0" fontId="6" fillId="8" borderId="17" xfId="0" applyFont="1" applyFill="1" applyBorder="1"/>
    <xf numFmtId="0" fontId="6" fillId="6" borderId="0" xfId="0" applyFont="1" applyFill="1"/>
    <xf numFmtId="0" fontId="5" fillId="6" borderId="27" xfId="0" applyFont="1" applyFill="1" applyBorder="1"/>
    <xf numFmtId="0" fontId="6" fillId="6" borderId="0" xfId="0" applyFont="1" applyFill="1" applyAlignment="1">
      <alignment horizontal="center"/>
    </xf>
    <xf numFmtId="0" fontId="0" fillId="2" borderId="0" xfId="0" applyFill="1"/>
    <xf numFmtId="1" fontId="7" fillId="2" borderId="1" xfId="0" applyNumberFormat="1" applyFont="1" applyFill="1" applyBorder="1" applyAlignment="1">
      <alignment horizontal="center"/>
    </xf>
    <xf numFmtId="1" fontId="7" fillId="2" borderId="4" xfId="0" applyNumberFormat="1" applyFont="1" applyFill="1" applyBorder="1" applyAlignment="1">
      <alignment horizontal="center"/>
    </xf>
    <xf numFmtId="44" fontId="7" fillId="2" borderId="1" xfId="3" applyFont="1" applyFill="1" applyBorder="1" applyAlignment="1">
      <alignment horizontal="center"/>
    </xf>
    <xf numFmtId="0" fontId="7" fillId="6" borderId="1" xfId="0" applyFont="1" applyFill="1" applyBorder="1" applyAlignment="1">
      <alignment wrapText="1"/>
    </xf>
    <xf numFmtId="0" fontId="6" fillId="6" borderId="17" xfId="0" applyFont="1" applyFill="1" applyBorder="1" applyAlignment="1">
      <alignment horizontal="center" wrapText="1"/>
    </xf>
    <xf numFmtId="0" fontId="6" fillId="6" borderId="1" xfId="0" applyFont="1" applyFill="1" applyBorder="1" applyAlignment="1">
      <alignment horizontal="center" wrapText="1"/>
    </xf>
    <xf numFmtId="0" fontId="2" fillId="0" borderId="0" xfId="0" applyFont="1" applyAlignment="1">
      <alignment horizontal="right"/>
    </xf>
    <xf numFmtId="0" fontId="6" fillId="6" borderId="2" xfId="0" applyFont="1" applyFill="1" applyBorder="1" applyAlignment="1">
      <alignment wrapText="1"/>
    </xf>
    <xf numFmtId="1" fontId="6" fillId="6" borderId="4" xfId="0" applyNumberFormat="1" applyFont="1" applyFill="1" applyBorder="1" applyAlignment="1">
      <alignment horizontal="center" wrapText="1"/>
    </xf>
    <xf numFmtId="0" fontId="7" fillId="2" borderId="2" xfId="0" applyFont="1" applyFill="1" applyBorder="1" applyAlignment="1">
      <alignment horizontal="center"/>
    </xf>
    <xf numFmtId="0" fontId="7" fillId="6" borderId="2" xfId="0" applyFont="1" applyFill="1" applyBorder="1" applyAlignment="1">
      <alignment horizontal="center"/>
    </xf>
    <xf numFmtId="1" fontId="7" fillId="6" borderId="4" xfId="0" applyNumberFormat="1" applyFont="1" applyFill="1" applyBorder="1"/>
    <xf numFmtId="0" fontId="0" fillId="0" borderId="24" xfId="0" applyBorder="1"/>
    <xf numFmtId="44" fontId="7" fillId="6" borderId="1" xfId="3" applyFont="1" applyFill="1" applyBorder="1"/>
    <xf numFmtId="44" fontId="7" fillId="3" borderId="1" xfId="3" applyFont="1" applyFill="1" applyBorder="1" applyAlignment="1" applyProtection="1">
      <protection locked="0"/>
    </xf>
    <xf numFmtId="1" fontId="6" fillId="0" borderId="0" xfId="0" applyNumberFormat="1" applyFont="1" applyFill="1" applyBorder="1"/>
    <xf numFmtId="0" fontId="6" fillId="0" borderId="0" xfId="0" applyFont="1" applyFill="1" applyBorder="1"/>
    <xf numFmtId="0" fontId="5" fillId="0" borderId="0" xfId="0" applyFont="1" applyFill="1"/>
    <xf numFmtId="0" fontId="7" fillId="0" borderId="0" xfId="0" applyFont="1" applyFill="1"/>
    <xf numFmtId="164" fontId="7" fillId="0" borderId="0" xfId="0" applyNumberFormat="1" applyFont="1" applyFill="1" applyBorder="1"/>
    <xf numFmtId="164" fontId="7" fillId="3" borderId="29" xfId="0" applyNumberFormat="1" applyFont="1" applyFill="1" applyBorder="1" applyAlignment="1" applyProtection="1">
      <alignment horizontal="center"/>
      <protection locked="0"/>
    </xf>
    <xf numFmtId="0" fontId="0" fillId="9" borderId="27" xfId="0" applyFill="1" applyBorder="1"/>
    <xf numFmtId="0" fontId="0" fillId="9" borderId="0" xfId="0" applyFill="1"/>
    <xf numFmtId="0" fontId="0" fillId="9" borderId="29" xfId="0" applyFill="1" applyBorder="1"/>
    <xf numFmtId="0" fontId="17" fillId="3" borderId="14" xfId="0" applyFont="1" applyFill="1" applyBorder="1"/>
    <xf numFmtId="0" fontId="17" fillId="3" borderId="15" xfId="0" applyFont="1" applyFill="1" applyBorder="1"/>
    <xf numFmtId="0" fontId="17" fillId="3" borderId="16" xfId="0" applyFont="1" applyFill="1" applyBorder="1"/>
    <xf numFmtId="0" fontId="6" fillId="3" borderId="16" xfId="0" applyFont="1" applyFill="1" applyBorder="1" applyAlignment="1">
      <alignment horizontal="center"/>
    </xf>
    <xf numFmtId="0" fontId="6" fillId="4" borderId="1" xfId="0" applyFont="1" applyFill="1" applyBorder="1" applyAlignment="1">
      <alignment wrapText="1"/>
    </xf>
    <xf numFmtId="0" fontId="6" fillId="4" borderId="17" xfId="0" applyFont="1" applyFill="1" applyBorder="1" applyAlignment="1">
      <alignment wrapText="1"/>
    </xf>
    <xf numFmtId="0" fontId="6" fillId="4" borderId="17" xfId="0" applyFont="1" applyFill="1" applyBorder="1" applyAlignment="1">
      <alignment horizontal="center" wrapText="1"/>
    </xf>
    <xf numFmtId="0" fontId="8" fillId="5" borderId="15" xfId="0" applyFont="1" applyFill="1" applyBorder="1" applyProtection="1"/>
    <xf numFmtId="0" fontId="19" fillId="6" borderId="1" xfId="0" applyFont="1" applyFill="1" applyBorder="1" applyAlignment="1">
      <alignment horizontal="right"/>
    </xf>
    <xf numFmtId="0" fontId="20" fillId="0" borderId="0" xfId="0" applyFont="1"/>
    <xf numFmtId="0" fontId="21" fillId="0" borderId="0" xfId="0" applyFont="1" applyAlignment="1">
      <alignment horizontal="right"/>
    </xf>
    <xf numFmtId="0" fontId="2" fillId="0" borderId="31" xfId="0" applyFont="1" applyBorder="1"/>
    <xf numFmtId="0" fontId="10" fillId="0" borderId="31" xfId="1" applyFont="1" applyBorder="1"/>
    <xf numFmtId="0" fontId="20" fillId="0" borderId="30" xfId="0" applyFont="1" applyBorder="1"/>
    <xf numFmtId="0" fontId="2" fillId="6" borderId="0" xfId="0" applyFont="1" applyFill="1" applyBorder="1"/>
    <xf numFmtId="0" fontId="2" fillId="6" borderId="11" xfId="0" applyFont="1" applyFill="1" applyBorder="1"/>
    <xf numFmtId="0" fontId="5" fillId="11" borderId="15" xfId="0" applyFont="1" applyFill="1" applyBorder="1"/>
    <xf numFmtId="0" fontId="7" fillId="11" borderId="0" xfId="0" applyFont="1" applyFill="1" applyAlignment="1">
      <alignment horizontal="center"/>
    </xf>
    <xf numFmtId="0" fontId="7" fillId="11" borderId="24" xfId="0" applyFont="1" applyFill="1" applyBorder="1" applyAlignment="1">
      <alignment horizontal="center"/>
    </xf>
    <xf numFmtId="0" fontId="0" fillId="11" borderId="0" xfId="0" applyFill="1"/>
    <xf numFmtId="0" fontId="18" fillId="11" borderId="0" xfId="0" applyFont="1" applyFill="1"/>
    <xf numFmtId="0" fontId="18" fillId="11" borderId="19" xfId="0" applyFont="1" applyFill="1" applyBorder="1" applyAlignment="1">
      <alignment horizontal="center"/>
    </xf>
    <xf numFmtId="0" fontId="7" fillId="11" borderId="27" xfId="0" applyFont="1" applyFill="1" applyBorder="1" applyAlignment="1">
      <alignment horizontal="center"/>
    </xf>
    <xf numFmtId="1" fontId="18" fillId="11" borderId="19" xfId="0" applyNumberFormat="1" applyFont="1" applyFill="1" applyBorder="1" applyAlignment="1">
      <alignment horizontal="center"/>
    </xf>
    <xf numFmtId="0" fontId="7" fillId="11" borderId="1" xfId="0" applyFont="1" applyFill="1" applyBorder="1" applyAlignment="1">
      <alignment horizontal="left"/>
    </xf>
    <xf numFmtId="0" fontId="7" fillId="11" borderId="1" xfId="0" applyFont="1" applyFill="1" applyBorder="1"/>
    <xf numFmtId="0" fontId="7" fillId="11" borderId="1" xfId="0" applyFont="1" applyFill="1" applyBorder="1" applyAlignment="1">
      <alignment horizontal="center"/>
    </xf>
    <xf numFmtId="0" fontId="8" fillId="11" borderId="1" xfId="0" applyFont="1" applyFill="1" applyBorder="1"/>
    <xf numFmtId="44" fontId="7" fillId="11" borderId="1" xfId="3" applyFont="1" applyFill="1" applyBorder="1"/>
    <xf numFmtId="0" fontId="7" fillId="11" borderId="0" xfId="0" applyFont="1" applyFill="1" applyAlignment="1">
      <alignment horizontal="left"/>
    </xf>
    <xf numFmtId="0" fontId="7" fillId="11" borderId="0" xfId="0" applyFont="1" applyFill="1"/>
    <xf numFmtId="164" fontId="22" fillId="11" borderId="0" xfId="0" applyNumberFormat="1" applyFont="1" applyFill="1" applyAlignment="1">
      <alignment horizontal="center"/>
    </xf>
    <xf numFmtId="1" fontId="22" fillId="11" borderId="0" xfId="0" applyNumberFormat="1" applyFont="1" applyFill="1" applyAlignment="1">
      <alignment horizontal="center"/>
    </xf>
    <xf numFmtId="0" fontId="22" fillId="11" borderId="0" xfId="0" applyFont="1" applyFill="1" applyAlignment="1">
      <alignment horizontal="center"/>
    </xf>
    <xf numFmtId="0" fontId="22" fillId="11" borderId="0" xfId="0" applyFont="1" applyFill="1" applyBorder="1" applyAlignment="1">
      <alignment horizontal="center"/>
    </xf>
    <xf numFmtId="0" fontId="7" fillId="11" borderId="13" xfId="0" applyFont="1" applyFill="1" applyBorder="1"/>
    <xf numFmtId="0" fontId="2" fillId="0" borderId="30" xfId="0" applyFont="1" applyBorder="1"/>
    <xf numFmtId="0" fontId="2" fillId="0" borderId="31" xfId="0" applyFont="1" applyBorder="1" applyAlignment="1">
      <alignment vertical="center"/>
    </xf>
    <xf numFmtId="0" fontId="10" fillId="0" borderId="31" xfId="1" applyBorder="1"/>
    <xf numFmtId="0" fontId="0" fillId="0" borderId="31" xfId="0" applyBorder="1"/>
    <xf numFmtId="0" fontId="20" fillId="0" borderId="31" xfId="0" applyFont="1" applyBorder="1"/>
    <xf numFmtId="0" fontId="10" fillId="0" borderId="32" xfId="1" applyBorder="1"/>
    <xf numFmtId="0" fontId="23" fillId="0" borderId="0" xfId="0" applyFont="1" applyFill="1" applyBorder="1" applyAlignment="1">
      <alignment horizontal="left"/>
    </xf>
    <xf numFmtId="164" fontId="7" fillId="7" borderId="1" xfId="0" applyNumberFormat="1" applyFont="1" applyFill="1" applyBorder="1" applyAlignment="1">
      <alignment horizontal="center"/>
    </xf>
    <xf numFmtId="0" fontId="6" fillId="6" borderId="33" xfId="0" applyFont="1" applyFill="1" applyBorder="1"/>
    <xf numFmtId="0" fontId="6" fillId="6" borderId="30" xfId="0" applyFont="1" applyFill="1" applyBorder="1"/>
    <xf numFmtId="0" fontId="7" fillId="6" borderId="34" xfId="0" applyFont="1" applyFill="1" applyBorder="1" applyAlignment="1">
      <alignment horizontal="center"/>
    </xf>
    <xf numFmtId="0" fontId="7" fillId="6" borderId="35" xfId="0" applyFont="1" applyFill="1" applyBorder="1" applyAlignment="1">
      <alignment horizontal="center"/>
    </xf>
    <xf numFmtId="1" fontId="7" fillId="6" borderId="36" xfId="0" applyNumberFormat="1" applyFont="1" applyFill="1" applyBorder="1" applyAlignment="1">
      <alignment horizontal="center"/>
    </xf>
    <xf numFmtId="0" fontId="7" fillId="11" borderId="31" xfId="0" applyFont="1" applyFill="1" applyBorder="1" applyAlignment="1">
      <alignment horizontal="center"/>
    </xf>
    <xf numFmtId="1" fontId="6" fillId="6" borderId="30" xfId="0" applyNumberFormat="1" applyFont="1" applyFill="1" applyBorder="1" applyAlignment="1">
      <alignment horizontal="center"/>
    </xf>
    <xf numFmtId="1" fontId="7" fillId="6" borderId="34" xfId="0" applyNumberFormat="1" applyFont="1" applyFill="1" applyBorder="1" applyAlignment="1">
      <alignment horizontal="center"/>
    </xf>
    <xf numFmtId="0" fontId="7" fillId="6" borderId="34" xfId="0" applyFont="1" applyFill="1" applyBorder="1"/>
    <xf numFmtId="0" fontId="7" fillId="6" borderId="35" xfId="0" applyFont="1" applyFill="1" applyBorder="1"/>
    <xf numFmtId="0" fontId="7" fillId="6" borderId="36" xfId="0" applyFont="1" applyFill="1" applyBorder="1"/>
    <xf numFmtId="0" fontId="7" fillId="11" borderId="31" xfId="0" applyFont="1" applyFill="1" applyBorder="1"/>
    <xf numFmtId="0" fontId="13" fillId="0" borderId="1" xfId="0" applyFont="1" applyBorder="1"/>
    <xf numFmtId="0" fontId="7" fillId="7" borderId="18" xfId="0" applyFont="1" applyFill="1" applyBorder="1" applyAlignment="1">
      <alignment horizontal="left"/>
    </xf>
    <xf numFmtId="0" fontId="7" fillId="6" borderId="34" xfId="0" applyFont="1" applyFill="1" applyBorder="1" applyAlignment="1">
      <alignment horizontal="left"/>
    </xf>
    <xf numFmtId="1" fontId="7" fillId="6" borderId="36" xfId="0" applyNumberFormat="1" applyFont="1" applyFill="1" applyBorder="1" applyAlignment="1">
      <alignment horizontal="left"/>
    </xf>
    <xf numFmtId="0" fontId="25" fillId="6" borderId="1" xfId="0" applyFont="1" applyFill="1" applyBorder="1"/>
    <xf numFmtId="0" fontId="25" fillId="6" borderId="13" xfId="0" applyFont="1" applyFill="1" applyBorder="1"/>
    <xf numFmtId="0" fontId="24" fillId="0" borderId="1" xfId="0" applyFont="1" applyBorder="1"/>
    <xf numFmtId="0" fontId="24" fillId="0" borderId="0" xfId="0" applyFont="1"/>
    <xf numFmtId="0" fontId="13" fillId="10" borderId="1" xfId="0" applyFont="1" applyFill="1" applyBorder="1" applyProtection="1">
      <protection locked="0"/>
    </xf>
    <xf numFmtId="0" fontId="26" fillId="10" borderId="1" xfId="0" applyFont="1" applyFill="1" applyBorder="1" applyAlignment="1" applyProtection="1">
      <alignment horizontal="center"/>
      <protection locked="0"/>
    </xf>
    <xf numFmtId="164" fontId="26" fillId="10" borderId="1" xfId="0" applyNumberFormat="1" applyFont="1" applyFill="1" applyBorder="1" applyAlignment="1" applyProtection="1">
      <alignment horizontal="center"/>
      <protection locked="0"/>
    </xf>
    <xf numFmtId="0" fontId="0" fillId="0" borderId="31" xfId="0" applyFont="1" applyFill="1" applyBorder="1"/>
    <xf numFmtId="0" fontId="10" fillId="0" borderId="32" xfId="1" applyFill="1" applyBorder="1"/>
    <xf numFmtId="0" fontId="20" fillId="0" borderId="31" xfId="0" applyFont="1" applyFill="1" applyBorder="1"/>
    <xf numFmtId="0" fontId="2" fillId="0" borderId="31" xfId="0" applyFont="1" applyFill="1" applyBorder="1"/>
    <xf numFmtId="1" fontId="13" fillId="0" borderId="0" xfId="0" applyNumberFormat="1" applyFont="1" applyBorder="1"/>
    <xf numFmtId="0" fontId="7" fillId="6" borderId="16" xfId="0" applyFont="1" applyFill="1" applyBorder="1"/>
    <xf numFmtId="0" fontId="13" fillId="0" borderId="13" xfId="0" applyFont="1" applyBorder="1"/>
    <xf numFmtId="0" fontId="6" fillId="6" borderId="37" xfId="0" applyFont="1" applyFill="1" applyBorder="1"/>
    <xf numFmtId="0" fontId="6" fillId="6" borderId="0" xfId="0" applyFont="1" applyFill="1" applyBorder="1"/>
    <xf numFmtId="0" fontId="7" fillId="6" borderId="38" xfId="0" applyFont="1" applyFill="1" applyBorder="1"/>
    <xf numFmtId="0" fontId="7" fillId="6" borderId="39" xfId="0" applyFont="1" applyFill="1" applyBorder="1"/>
    <xf numFmtId="0" fontId="2" fillId="6" borderId="0" xfId="0" applyFont="1" applyFill="1"/>
    <xf numFmtId="164" fontId="0" fillId="6" borderId="0" xfId="0" applyNumberFormat="1" applyFill="1"/>
    <xf numFmtId="0" fontId="20" fillId="0" borderId="0" xfId="0" applyFont="1" applyFill="1"/>
    <xf numFmtId="49" fontId="7" fillId="0" borderId="2" xfId="0" applyNumberFormat="1" applyFont="1" applyBorder="1" applyAlignment="1">
      <alignment horizontal="left" wrapText="1"/>
    </xf>
    <xf numFmtId="49" fontId="7" fillId="0" borderId="4" xfId="0" applyNumberFormat="1" applyFont="1" applyBorder="1" applyAlignment="1">
      <alignment horizontal="left"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0</xdr:row>
      <xdr:rowOff>57150</xdr:rowOff>
    </xdr:from>
    <xdr:to>
      <xdr:col>3</xdr:col>
      <xdr:colOff>314324</xdr:colOff>
      <xdr:row>0</xdr:row>
      <xdr:rowOff>409531</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85724" y="57150"/>
          <a:ext cx="10410825" cy="352381"/>
        </a:xfrm>
        <a:prstGeom prst="rect">
          <a:avLst/>
        </a:prstGeom>
      </xdr:spPr>
    </xdr:pic>
    <xdr:clientData/>
  </xdr:twoCellAnchor>
  <xdr:twoCellAnchor editAs="oneCell">
    <xdr:from>
      <xdr:col>1</xdr:col>
      <xdr:colOff>19050</xdr:colOff>
      <xdr:row>22</xdr:row>
      <xdr:rowOff>67733</xdr:rowOff>
    </xdr:from>
    <xdr:to>
      <xdr:col>1</xdr:col>
      <xdr:colOff>2886075</xdr:colOff>
      <xdr:row>25</xdr:row>
      <xdr:rowOff>52936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32883" y="5518150"/>
          <a:ext cx="2867025" cy="5037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9</xdr:col>
      <xdr:colOff>762000</xdr:colOff>
      <xdr:row>2</xdr:row>
      <xdr:rowOff>1174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 y="295275"/>
          <a:ext cx="8105774" cy="353599"/>
        </a:xfrm>
        <a:prstGeom prst="rect">
          <a:avLst/>
        </a:prstGeom>
      </xdr:spPr>
    </xdr:pic>
    <xdr:clientData/>
  </xdr:twoCellAnchor>
  <xdr:twoCellAnchor editAs="oneCell">
    <xdr:from>
      <xdr:col>0</xdr:col>
      <xdr:colOff>66675</xdr:colOff>
      <xdr:row>33</xdr:row>
      <xdr:rowOff>66675</xdr:rowOff>
    </xdr:from>
    <xdr:to>
      <xdr:col>3</xdr:col>
      <xdr:colOff>33068</xdr:colOff>
      <xdr:row>36</xdr:row>
      <xdr:rowOff>123117</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66675" y="6038850"/>
          <a:ext cx="3509693" cy="6279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638174</xdr:colOff>
      <xdr:row>1</xdr:row>
      <xdr:rowOff>353599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295275"/>
          <a:ext cx="9934574" cy="353599"/>
        </a:xfrm>
        <a:prstGeom prst="rect">
          <a:avLst/>
        </a:prstGeom>
      </xdr:spPr>
    </xdr:pic>
    <xdr:clientData/>
  </xdr:twoCellAnchor>
  <xdr:twoCellAnchor editAs="oneCell">
    <xdr:from>
      <xdr:col>0</xdr:col>
      <xdr:colOff>19050</xdr:colOff>
      <xdr:row>27</xdr:row>
      <xdr:rowOff>0</xdr:rowOff>
    </xdr:from>
    <xdr:to>
      <xdr:col>3</xdr:col>
      <xdr:colOff>891465</xdr:colOff>
      <xdr:row>30</xdr:row>
      <xdr:rowOff>142167</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19050" y="5038725"/>
          <a:ext cx="3529890" cy="6279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342900</xdr:rowOff>
    </xdr:from>
    <xdr:to>
      <xdr:col>30</xdr:col>
      <xdr:colOff>19050</xdr:colOff>
      <xdr:row>1</xdr:row>
      <xdr:rowOff>353599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0" y="695325"/>
          <a:ext cx="12763500" cy="353599"/>
        </a:xfrm>
        <a:prstGeom prst="rect">
          <a:avLst/>
        </a:prstGeom>
      </xdr:spPr>
    </xdr:pic>
    <xdr:clientData/>
  </xdr:twoCellAnchor>
  <xdr:twoCellAnchor editAs="oneCell">
    <xdr:from>
      <xdr:col>0</xdr:col>
      <xdr:colOff>0</xdr:colOff>
      <xdr:row>77</xdr:row>
      <xdr:rowOff>0</xdr:rowOff>
    </xdr:from>
    <xdr:to>
      <xdr:col>2</xdr:col>
      <xdr:colOff>81840</xdr:colOff>
      <xdr:row>80</xdr:row>
      <xdr:rowOff>142167</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0" y="15906750"/>
          <a:ext cx="3529890" cy="627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ulman.2@osu.edu" TargetMode="External"/><Relationship Id="rId7" Type="http://schemas.openxmlformats.org/officeDocument/2006/relationships/ctrlProp" Target="../ctrlProps/ctrlProp1.xml"/><Relationship Id="rId2" Type="http://schemas.openxmlformats.org/officeDocument/2006/relationships/hyperlink" Target="http://agcrops.osu.edu/specialists/fertility/fertility-fact-sheets-and-bulletins/Soil_Tests.pdf" TargetMode="External"/><Relationship Id="rId1" Type="http://schemas.openxmlformats.org/officeDocument/2006/relationships/hyperlink" Target="mailto:labarge.1@osu.ed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B1:C62"/>
  <sheetViews>
    <sheetView tabSelected="1" zoomScale="90" zoomScaleNormal="90" workbookViewId="0">
      <selection activeCell="C7" sqref="C7"/>
    </sheetView>
  </sheetViews>
  <sheetFormatPr defaultRowHeight="12.75"/>
  <cols>
    <col min="2" max="2" width="93.28515625" customWidth="1"/>
    <col min="3" max="3" width="50.28515625" customWidth="1"/>
  </cols>
  <sheetData>
    <row r="1" spans="2:3" ht="33.75" customHeight="1"/>
    <row r="2" spans="2:3" ht="18">
      <c r="B2" s="89" t="s">
        <v>60</v>
      </c>
    </row>
    <row r="3" spans="2:3" ht="15">
      <c r="B3" s="85"/>
    </row>
    <row r="4" spans="2:3" ht="83.25" customHeight="1">
      <c r="B4" s="270" t="s">
        <v>133</v>
      </c>
      <c r="C4" s="271"/>
    </row>
    <row r="5" spans="2:3" ht="18">
      <c r="B5" s="197" t="s">
        <v>110</v>
      </c>
      <c r="C5" s="253"/>
    </row>
    <row r="6" spans="2:3" ht="18">
      <c r="B6" s="197" t="s">
        <v>111</v>
      </c>
      <c r="C6" s="253"/>
    </row>
    <row r="7" spans="2:3" ht="18">
      <c r="B7" s="197" t="s">
        <v>129</v>
      </c>
      <c r="C7" s="254" t="s">
        <v>20</v>
      </c>
    </row>
    <row r="8" spans="2:3" ht="18">
      <c r="B8" s="197" t="s">
        <v>128</v>
      </c>
      <c r="C8" s="255" t="s">
        <v>107</v>
      </c>
    </row>
    <row r="10" spans="2:3" ht="18.75">
      <c r="B10" s="231" t="s">
        <v>118</v>
      </c>
    </row>
    <row r="12" spans="2:3" ht="24" customHeight="1">
      <c r="B12" s="199" t="s">
        <v>108</v>
      </c>
    </row>
    <row r="13" spans="2:3" ht="13.5" thickBot="1">
      <c r="C13" s="6"/>
    </row>
    <row r="14" spans="2:3">
      <c r="B14" s="225" t="s">
        <v>122</v>
      </c>
      <c r="C14" s="202" t="s">
        <v>61</v>
      </c>
    </row>
    <row r="15" spans="2:3">
      <c r="B15" s="226" t="s">
        <v>123</v>
      </c>
      <c r="C15" s="200" t="s">
        <v>62</v>
      </c>
    </row>
    <row r="16" spans="2:3">
      <c r="B16" s="200" t="s">
        <v>130</v>
      </c>
      <c r="C16" s="200" t="s">
        <v>70</v>
      </c>
    </row>
    <row r="17" spans="2:3">
      <c r="B17" s="227" t="s">
        <v>131</v>
      </c>
      <c r="C17" s="200" t="s">
        <v>63</v>
      </c>
    </row>
    <row r="18" spans="2:3">
      <c r="B18" s="228" t="s">
        <v>105</v>
      </c>
      <c r="C18" s="201" t="s">
        <v>64</v>
      </c>
    </row>
    <row r="19" spans="2:3">
      <c r="B19" s="229" t="s">
        <v>120</v>
      </c>
      <c r="C19" s="228"/>
    </row>
    <row r="20" spans="2:3" ht="13.5" thickBot="1">
      <c r="B20" s="230" t="s">
        <v>121</v>
      </c>
      <c r="C20" s="258" t="s">
        <v>124</v>
      </c>
    </row>
    <row r="21" spans="2:3">
      <c r="C21" s="259" t="s">
        <v>127</v>
      </c>
    </row>
    <row r="22" spans="2:3">
      <c r="B22" s="3" t="s">
        <v>132</v>
      </c>
      <c r="C22" s="256" t="s">
        <v>125</v>
      </c>
    </row>
    <row r="23" spans="2:3">
      <c r="C23" s="256" t="s">
        <v>63</v>
      </c>
    </row>
    <row r="24" spans="2:3" ht="15.75" thickBot="1">
      <c r="B24" s="86"/>
      <c r="C24" s="257" t="s">
        <v>126</v>
      </c>
    </row>
    <row r="25" spans="2:3">
      <c r="C25" s="6"/>
    </row>
    <row r="26" spans="2:3">
      <c r="C26" s="6"/>
    </row>
    <row r="27" spans="2:3">
      <c r="C27" s="6"/>
    </row>
    <row r="28" spans="2:3">
      <c r="C28" s="6"/>
    </row>
    <row r="56" spans="2:2">
      <c r="B56" s="269" t="s">
        <v>109</v>
      </c>
    </row>
    <row r="57" spans="2:2">
      <c r="B57" s="30" t="s">
        <v>106</v>
      </c>
    </row>
    <row r="58" spans="2:2">
      <c r="B58" s="30" t="s">
        <v>107</v>
      </c>
    </row>
    <row r="59" spans="2:2">
      <c r="B59" s="1"/>
    </row>
    <row r="60" spans="2:2">
      <c r="B60" s="269" t="s">
        <v>109</v>
      </c>
    </row>
    <row r="61" spans="2:2">
      <c r="B61" s="30" t="s">
        <v>20</v>
      </c>
    </row>
    <row r="62" spans="2:2">
      <c r="B62" s="30" t="s">
        <v>21</v>
      </c>
    </row>
  </sheetData>
  <sheetProtection password="FFAA" sheet="1" objects="1" scenarios="1" selectLockedCells="1"/>
  <mergeCells count="1">
    <mergeCell ref="B4:C4"/>
  </mergeCells>
  <dataValidations count="2">
    <dataValidation type="list" allowBlank="1" showInputMessage="1" showErrorMessage="1" sqref="C8">
      <formula1>$B$57:$B$58</formula1>
    </dataValidation>
    <dataValidation type="list" allowBlank="1" showInputMessage="1" showErrorMessage="1" sqref="C7">
      <formula1>$B$61:$B$62</formula1>
    </dataValidation>
  </dataValidations>
  <hyperlinks>
    <hyperlink ref="C18" r:id="rId1"/>
    <hyperlink ref="B20" r:id="rId2"/>
    <hyperlink ref="C24" r:id="rId3"/>
  </hyperlinks>
  <pageMargins left="0.7" right="0.7" top="0.75" bottom="0.75" header="0.3" footer="0.3"/>
  <pageSetup paperSize="9" orientation="portrait" r:id="rId4"/>
  <drawing r:id="rId5"/>
  <legacyDrawing r:id="rId6"/>
</worksheet>
</file>

<file path=xl/worksheets/sheet2.xml><?xml version="1.0" encoding="utf-8"?>
<worksheet xmlns="http://schemas.openxmlformats.org/spreadsheetml/2006/main" xmlns:r="http://schemas.openxmlformats.org/officeDocument/2006/relationships">
  <sheetPr codeName="Sheet2">
    <pageSetUpPr fitToPage="1"/>
  </sheetPr>
  <dimension ref="A1:S55"/>
  <sheetViews>
    <sheetView topLeftCell="C1" workbookViewId="0">
      <selection activeCell="A4" sqref="A4"/>
    </sheetView>
  </sheetViews>
  <sheetFormatPr defaultRowHeight="12.75"/>
  <cols>
    <col min="1" max="1" width="24.42578125" customWidth="1"/>
    <col min="2" max="2" width="10.7109375" customWidth="1"/>
    <col min="4" max="4" width="23.5703125" customWidth="1"/>
    <col min="5" max="5" width="7.42578125" customWidth="1"/>
    <col min="6" max="6" width="11.5703125" customWidth="1"/>
    <col min="7" max="7" width="7.140625" customWidth="1"/>
    <col min="8" max="8" width="6.42578125" customWidth="1"/>
    <col min="9" max="9" width="7.140625" customWidth="1"/>
    <col min="10" max="10" width="8.28515625" customWidth="1"/>
    <col min="11" max="12" width="6.5703125" customWidth="1"/>
    <col min="13" max="13" width="7.42578125" customWidth="1"/>
    <col min="14" max="14" width="8" customWidth="1"/>
    <col min="15" max="15" width="7.7109375" customWidth="1"/>
    <col min="16" max="16" width="12.5703125" customWidth="1"/>
    <col min="17" max="17" width="11.5703125" customWidth="1"/>
    <col min="18" max="18" width="17.42578125" customWidth="1"/>
  </cols>
  <sheetData>
    <row r="1" spans="1:19" ht="27.75" customHeight="1" thickBot="1"/>
    <row r="2" spans="1:19" ht="15.75" thickBot="1">
      <c r="A2" s="54"/>
      <c r="B2" s="54"/>
      <c r="C2" s="189" t="s">
        <v>47</v>
      </c>
      <c r="D2" s="190"/>
      <c r="E2" s="190"/>
      <c r="F2" s="190"/>
      <c r="G2" s="189" t="s">
        <v>45</v>
      </c>
      <c r="H2" s="190"/>
      <c r="I2" s="190"/>
      <c r="J2" s="190"/>
      <c r="K2" s="190"/>
      <c r="L2" s="190"/>
      <c r="M2" s="190"/>
      <c r="N2" s="190"/>
      <c r="O2" s="192"/>
      <c r="P2" s="190" t="s">
        <v>22</v>
      </c>
      <c r="Q2" s="190"/>
      <c r="R2" s="191"/>
    </row>
    <row r="3" spans="1:19" ht="30">
      <c r="A3" s="193" t="s">
        <v>14</v>
      </c>
      <c r="B3" s="193" t="s">
        <v>72</v>
      </c>
      <c r="C3" s="194" t="s">
        <v>19</v>
      </c>
      <c r="D3" s="194" t="s">
        <v>15</v>
      </c>
      <c r="E3" s="194" t="s">
        <v>40</v>
      </c>
      <c r="F3" s="194" t="s">
        <v>32</v>
      </c>
      <c r="G3" s="195" t="s">
        <v>16</v>
      </c>
      <c r="H3" s="195" t="s">
        <v>6</v>
      </c>
      <c r="I3" s="195" t="s">
        <v>1</v>
      </c>
      <c r="J3" s="195" t="s">
        <v>104</v>
      </c>
      <c r="K3" s="195" t="s">
        <v>112</v>
      </c>
      <c r="L3" s="195" t="s">
        <v>5</v>
      </c>
      <c r="M3" s="195" t="s">
        <v>17</v>
      </c>
      <c r="N3" s="195" t="s">
        <v>18</v>
      </c>
      <c r="O3" s="195" t="s">
        <v>0</v>
      </c>
      <c r="P3" s="195" t="s">
        <v>23</v>
      </c>
      <c r="Q3" s="195" t="s">
        <v>29</v>
      </c>
      <c r="R3" s="195" t="s">
        <v>30</v>
      </c>
    </row>
    <row r="4" spans="1:19" ht="15">
      <c r="A4" s="58"/>
      <c r="B4" s="58"/>
      <c r="C4" s="58"/>
      <c r="D4" s="58"/>
      <c r="E4" s="59" t="str">
        <f>IF(D4="","",VLOOKUP(D4,Calc!$Z$2:$AA$7,2,))</f>
        <v/>
      </c>
      <c r="F4" s="60"/>
      <c r="G4" s="61"/>
      <c r="H4" s="62"/>
      <c r="I4" s="62"/>
      <c r="J4" s="62"/>
      <c r="K4" s="60"/>
      <c r="L4" s="60"/>
      <c r="M4" s="60"/>
      <c r="N4" s="60"/>
      <c r="O4" s="62"/>
      <c r="P4" s="63" t="str">
        <f>IF(Introduction!C7="Please select before proceeding","select test",IF(Introduction!C8="Please select before proceeding","select units",IF(F4="","Enter Yield",IF(Calc!G2&lt;=0,"",IF(Calc!G2&lt;Calc!F2,Calc!D2,IF(Calc!G2&lt;=Calc!R2,Calc!K2,IF(Calc!G2&gt;Calc!R2,Calc!Q2)))))))</f>
        <v>Enter Yield</v>
      </c>
      <c r="Q4" s="63" t="str">
        <f>IF(Calc!G6=0,"",IF(H4="", "enter CEC",(IF(OR(AND(D4="Alfalfa",Calc!G6&gt;Calc!F6),AND(D4="Corn-Silage",Calc!G6&gt;Calc!F6)),Calc!T6,IF(Calc!G6&lt;=Calc!F6,Calc!E6,IF(Calc!G6&lt;=Calc!R6,Calc!K6,IF(Calc!G6&gt;Calc!R6,Calc!Q6,)))))))</f>
        <v/>
      </c>
      <c r="R4" s="64" t="str">
        <f>IF(J4="","Need Buff pH",IF(O4=6.8,Calc!W2,IF(O4=6.5,Calc!X2,IF(O4=6,Calc!Y2,"select target pH"))))</f>
        <v>Need Buff pH</v>
      </c>
      <c r="S4" s="2"/>
    </row>
    <row r="5" spans="1:19" ht="15">
      <c r="A5" s="219"/>
      <c r="B5" s="219"/>
      <c r="C5" s="65" t="str">
        <f>IF(C4="","",C4+1)</f>
        <v/>
      </c>
      <c r="D5" s="58"/>
      <c r="E5" s="59" t="str">
        <f>IF(D5="","",VLOOKUP(D5,Calc!$Z$2:$AA$7,2,))</f>
        <v/>
      </c>
      <c r="F5" s="60"/>
      <c r="G5" s="220">
        <f>G4</f>
        <v>0</v>
      </c>
      <c r="H5" s="220">
        <f>H4</f>
        <v>0</v>
      </c>
      <c r="I5" s="220">
        <f t="shared" ref="I5:N5" si="0">I4</f>
        <v>0</v>
      </c>
      <c r="J5" s="220">
        <f t="shared" si="0"/>
        <v>0</v>
      </c>
      <c r="K5" s="222">
        <f t="shared" si="0"/>
        <v>0</v>
      </c>
      <c r="L5" s="221">
        <f>L4</f>
        <v>0</v>
      </c>
      <c r="M5" s="222">
        <f t="shared" si="0"/>
        <v>0</v>
      </c>
      <c r="N5" s="222">
        <f t="shared" si="0"/>
        <v>0</v>
      </c>
      <c r="O5" s="222"/>
      <c r="P5" s="63" t="str">
        <f>IF(Introduction!C7="Please select before proceeding","select test",IF(Introduction!C8="Please select before proceeding","select units",IF(D5="","",IF(F5="","Enter Yield",IF(Calc!G3&lt;=0,"",IF(Calc!G3&lt;Calc!F3,Calc!D3,IF(Calc!G3&lt;=Calc!R3,Calc!K3,IF(Calc!G3&gt;Calc!R3,Calc!Q3))))))))</f>
        <v/>
      </c>
      <c r="Q5" s="63" t="str">
        <f>IF(Calc!G7=0,"",IF(H4="", "enter CEC",(IF(OR(AND(D5="Alfalfa",Calc!G7&gt;Calc!F7),AND(D5="Corn-Silage",Calc!G7&gt;Calc!F7)),Calc!T7,IF(Calc!G7&lt;=Calc!F7,Calc!E7,IF(Calc!G7&lt;=Calc!R7,Calc!K7,IF(Calc!G7&gt;Calc!R7,Calc!Q7,)))))))</f>
        <v/>
      </c>
      <c r="R5" s="214"/>
    </row>
    <row r="6" spans="1:19" ht="15.75" thickBot="1">
      <c r="A6" s="219"/>
      <c r="B6" s="219"/>
      <c r="C6" s="66" t="str">
        <f>IF(C4="","",C4+2)</f>
        <v/>
      </c>
      <c r="D6" s="67"/>
      <c r="E6" s="59" t="str">
        <f>IF(D6="","",VLOOKUP(D6,Calc!$Z$2:$AA$7,2,))</f>
        <v/>
      </c>
      <c r="F6" s="60"/>
      <c r="G6" s="220">
        <f>G4</f>
        <v>0</v>
      </c>
      <c r="H6" s="220">
        <f>H4</f>
        <v>0</v>
      </c>
      <c r="I6" s="220">
        <f t="shared" ref="I6:N6" si="1">I4</f>
        <v>0</v>
      </c>
      <c r="J6" s="220">
        <f t="shared" si="1"/>
        <v>0</v>
      </c>
      <c r="K6" s="222">
        <f t="shared" si="1"/>
        <v>0</v>
      </c>
      <c r="L6" s="222">
        <f t="shared" si="1"/>
        <v>0</v>
      </c>
      <c r="M6" s="222">
        <f t="shared" si="1"/>
        <v>0</v>
      </c>
      <c r="N6" s="222">
        <f t="shared" si="1"/>
        <v>0</v>
      </c>
      <c r="O6" s="222"/>
      <c r="P6" s="63" t="str">
        <f>IF(Introduction!C7="Please select before proceeding","select test",IF(Introduction!C8="Please select before proceeding","select units",IF(D6="","",IF(F6="","Enter Yield",IF(Calc!G4&lt;=0,"",IF(Calc!G4&lt;Calc!F4,Calc!D4,IF(Calc!G4&lt;=Calc!R4,Calc!K4,IF(Calc!G4&gt;Calc!R4,Calc!Q4))))))))</f>
        <v/>
      </c>
      <c r="Q6" s="63" t="str">
        <f>IF(Calc!G8=0,"",IF(H4="", "enter CEC",(IF(OR(AND(D6="Alfalfa",Calc!G8&gt;Calc!F8),AND(D6="Corn-Silage",Calc!G8&gt;Calc!F8)),Calc!T8,IF(Calc!G8&lt;=Calc!F8,Calc!E8,IF(Calc!G8&lt;=Calc!R8,Calc!K8,IF(Calc!G8&gt;Calc!R8,Calc!Q8,)))))))</f>
        <v/>
      </c>
      <c r="R6" s="224"/>
    </row>
    <row r="7" spans="1:19" ht="5.25" customHeight="1" thickBot="1">
      <c r="A7" s="68"/>
      <c r="B7" s="111"/>
      <c r="C7" s="69"/>
      <c r="D7" s="70"/>
      <c r="E7" s="71"/>
      <c r="F7" s="196"/>
      <c r="G7" s="71"/>
      <c r="H7" s="71"/>
      <c r="I7" s="71"/>
      <c r="J7" s="107"/>
      <c r="K7" s="71"/>
      <c r="L7" s="71"/>
      <c r="M7" s="71"/>
      <c r="N7" s="71"/>
      <c r="O7" s="71"/>
      <c r="P7" s="71"/>
      <c r="Q7" s="71"/>
      <c r="R7" s="73"/>
    </row>
    <row r="8" spans="1:19" ht="15">
      <c r="A8" s="74"/>
      <c r="B8" s="74"/>
      <c r="C8" s="133" t="str">
        <f>IF(C4="","",C4)</f>
        <v/>
      </c>
      <c r="D8" s="74"/>
      <c r="E8" s="59" t="str">
        <f>IF(D8="","",VLOOKUP(D8,Calc!$Z$2:$AA$7,2,))</f>
        <v/>
      </c>
      <c r="F8" s="60"/>
      <c r="G8" s="76"/>
      <c r="H8" s="76"/>
      <c r="I8" s="76"/>
      <c r="J8" s="76"/>
      <c r="K8" s="75"/>
      <c r="L8" s="75"/>
      <c r="M8" s="75"/>
      <c r="N8" s="77"/>
      <c r="O8" s="62"/>
      <c r="P8" s="78" t="str">
        <f>IF(Introduction!C7="Please select before proceeding","select test",IF(Introduction!C8="Please select before proceeding","select units",IF(F8="","Enter Yield",IF(Calc!G11&lt;=0,"",IF(Calc!G11&lt;Calc!F11,Calc!D11,IF(Calc!G11&lt;=Calc!R11,Calc!K11,IF(Calc!G11&gt;Calc!R11,Calc!Q11)))))))</f>
        <v>Enter Yield</v>
      </c>
      <c r="Q8" s="63" t="str">
        <f>IF(Calc!G15=0,"",IF(H8="","enter CEC",(IF(OR(AND(D8="Alfalfa",Calc!G15&gt;Calc!F15),AND(D8="Corn-Silage",Calc!G15&gt;Calc!F15)),Calc!T15,IF(Calc!G15&lt;=Calc!F15,Calc!E15,IF(Calc!G15&lt;=Calc!R15,Calc!K15,IF(Calc!G15&gt;Calc!R15,Calc!Q15,)))))))</f>
        <v/>
      </c>
      <c r="R8" s="64" t="str">
        <f>IF(J8="","Need Buff pH",IF(O8=6.8,Calc!W11,IF(O8=6.5,Calc!X11,IF(O8=6,Calc!Y11,"select target pH"))))</f>
        <v>Need Buff pH</v>
      </c>
    </row>
    <row r="9" spans="1:19" ht="15">
      <c r="A9" s="219"/>
      <c r="B9" s="219"/>
      <c r="C9" s="65" t="str">
        <f>C5</f>
        <v/>
      </c>
      <c r="D9" s="58"/>
      <c r="E9" s="59" t="str">
        <f>IF(D9="","",VLOOKUP(D9,Calc!$Z$2:$AA$7,2,))</f>
        <v/>
      </c>
      <c r="F9" s="60"/>
      <c r="G9" s="222">
        <f t="shared" ref="G9:N9" si="2">G8</f>
        <v>0</v>
      </c>
      <c r="H9" s="220">
        <f t="shared" si="2"/>
        <v>0</v>
      </c>
      <c r="I9" s="220">
        <f t="shared" si="2"/>
        <v>0</v>
      </c>
      <c r="J9" s="220">
        <f t="shared" si="2"/>
        <v>0</v>
      </c>
      <c r="K9" s="223">
        <f t="shared" si="2"/>
        <v>0</v>
      </c>
      <c r="L9" s="223">
        <f t="shared" si="2"/>
        <v>0</v>
      </c>
      <c r="M9" s="223">
        <f t="shared" si="2"/>
        <v>0</v>
      </c>
      <c r="N9" s="223">
        <f t="shared" si="2"/>
        <v>0</v>
      </c>
      <c r="O9" s="223"/>
      <c r="P9" s="78" t="str">
        <f>IF(Introduction!C7="Please select before proceeding","select test",IF(Introduction!C8="Please select before proceeding","select units",IF(D9="","",IF(F9="","Enter Yield",IF(Calc!G12&lt;=0,"",IF(Calc!G12&lt;Calc!F12,Calc!D12,IF(Calc!G12&lt;=Calc!R12,Calc!K12,IF(Calc!G12&gt;Calc!R12,Calc!Q12))))))))</f>
        <v/>
      </c>
      <c r="Q9" s="63" t="str">
        <f>IF(Calc!G16=0,"",IF(H8="","enter CEC",(IF(OR(AND(D9="Alfalfa",Calc!G16&gt;Calc!F16),AND(D9="Corn-Silage",Calc!G16&gt;Calc!F16)),Calc!T16,IF(Calc!G16&lt;=Calc!F16,Calc!E16,IF(Calc!G16&lt;=Calc!R16,Calc!K16,IF(Calc!G16&gt;Calc!R16,Calc!Q16,)))))))</f>
        <v/>
      </c>
      <c r="R9" s="214"/>
    </row>
    <row r="10" spans="1:19" ht="15.75" thickBot="1">
      <c r="A10" s="219"/>
      <c r="B10" s="219"/>
      <c r="C10" s="66" t="str">
        <f>C6</f>
        <v/>
      </c>
      <c r="D10" s="67"/>
      <c r="E10" s="59" t="str">
        <f>IF(D10="","",VLOOKUP(D10,Calc!$Z$2:$AA$7,2,))</f>
        <v/>
      </c>
      <c r="F10" s="60"/>
      <c r="G10" s="222">
        <f t="shared" ref="G10:N10" si="3">G8</f>
        <v>0</v>
      </c>
      <c r="H10" s="220">
        <f t="shared" si="3"/>
        <v>0</v>
      </c>
      <c r="I10" s="220">
        <f t="shared" si="3"/>
        <v>0</v>
      </c>
      <c r="J10" s="220">
        <f t="shared" si="3"/>
        <v>0</v>
      </c>
      <c r="K10" s="223">
        <f t="shared" si="3"/>
        <v>0</v>
      </c>
      <c r="L10" s="223">
        <f t="shared" si="3"/>
        <v>0</v>
      </c>
      <c r="M10" s="223">
        <f t="shared" si="3"/>
        <v>0</v>
      </c>
      <c r="N10" s="223">
        <f t="shared" si="3"/>
        <v>0</v>
      </c>
      <c r="O10" s="223"/>
      <c r="P10" s="78" t="str">
        <f>IF(Introduction!C7="Please select before proceeding","select test",IF(Introduction!C8="Please select before proceeding","select units",IF(D10="","",IF(F10="","Enter Yield",IF(Calc!G13&lt;=0,"",IF(Calc!G13&lt;Calc!F13,Calc!D13,IF(Calc!G13&lt;=Calc!R13,Calc!K13,IF(Calc!G13&gt;Calc!R13,Calc!Q13))))))))</f>
        <v/>
      </c>
      <c r="Q10" s="63" t="str">
        <f>IF(Calc!G17=0,"",IF(H8="","enter CEC",(IF(OR(AND(D10="Alfalfa",Calc!G17&gt;Calc!F17),AND(D10="Corn-Silage",Calc!G17&gt;Calc!F17)),Calc!T17,IF(Calc!G17&lt;=Calc!F17,Calc!E17,IF(Calc!G17&lt;=Calc!R17,Calc!K17,IF(Calc!G17&gt;Calc!R17,Calc!Q17,)))))))</f>
        <v/>
      </c>
      <c r="R10" s="224"/>
    </row>
    <row r="11" spans="1:19" ht="4.5" customHeight="1" thickBot="1">
      <c r="A11" s="80"/>
      <c r="B11" s="83"/>
      <c r="C11" s="81"/>
      <c r="D11" s="82"/>
      <c r="E11" s="83"/>
      <c r="F11" s="81"/>
      <c r="G11" s="83"/>
      <c r="H11" s="83"/>
      <c r="I11" s="83"/>
      <c r="J11" s="72"/>
      <c r="K11" s="83"/>
      <c r="L11" s="83"/>
      <c r="M11" s="83"/>
      <c r="N11" s="83"/>
      <c r="O11" s="83"/>
      <c r="P11" s="83"/>
      <c r="Q11" s="83"/>
      <c r="R11" s="84"/>
    </row>
    <row r="12" spans="1:19" ht="15">
      <c r="A12" s="74"/>
      <c r="B12" s="74"/>
      <c r="C12" s="133" t="str">
        <f>C8</f>
        <v/>
      </c>
      <c r="D12" s="67"/>
      <c r="E12" s="59" t="str">
        <f>IF(D12="","",VLOOKUP(D12,Calc!$Z$2:$AA$7,2,))</f>
        <v/>
      </c>
      <c r="F12" s="60"/>
      <c r="G12" s="76"/>
      <c r="H12" s="76"/>
      <c r="I12" s="76"/>
      <c r="J12" s="76"/>
      <c r="K12" s="75"/>
      <c r="L12" s="75"/>
      <c r="M12" s="75"/>
      <c r="N12" s="77"/>
      <c r="O12" s="62"/>
      <c r="P12" s="78" t="str">
        <f>IF(Introduction!C7="Please select before proceeding","select test",IF(Introduction!C8="Please select before proceeding","select units",IF(F12="","Enter Yield",IF(Calc!G20&lt;=0,"",IF(Calc!G20&lt;Calc!F20,Calc!D20,IF(Calc!G20&lt;=Calc!R20,Calc!K20,IF(Calc!G20&gt;Calc!R20,Calc!Q20)))))))</f>
        <v>Enter Yield</v>
      </c>
      <c r="Q12" s="63" t="str">
        <f>IF(Calc!G24=0,"",IF(H12="","enter CEC",(IF(OR(AND(D12="Alfalfa",Calc!G24&gt;Calc!F24),AND(D12="Corn-Silage",Calc!G24&gt;Calc!F24)),Calc!T24,IF(Calc!G24&lt;=Calc!F24,Calc!E24,IF(Calc!G24&lt;=Calc!R24,Calc!K24,IF(Calc!G24&gt;Calc!R24,Calc!Q24,)))))))</f>
        <v/>
      </c>
      <c r="R12" s="64" t="str">
        <f>IF(J12="","Need Buff pH",IF(O12=6.8,Calc!W20,IF(O12=6.5,Calc!X20,IF(O12=6,Calc!Y20,"select target pH"))))</f>
        <v>Need Buff pH</v>
      </c>
    </row>
    <row r="13" spans="1:19" ht="15">
      <c r="A13" s="219"/>
      <c r="B13" s="219"/>
      <c r="C13" s="65" t="str">
        <f>C9</f>
        <v/>
      </c>
      <c r="D13" s="67"/>
      <c r="E13" s="59" t="str">
        <f>IF(D13="","",VLOOKUP(D13,Calc!$Z$2:$AA$7,2,))</f>
        <v/>
      </c>
      <c r="F13" s="60"/>
      <c r="G13" s="222">
        <f t="shared" ref="G13:N13" si="4">G12</f>
        <v>0</v>
      </c>
      <c r="H13" s="220">
        <f t="shared" si="4"/>
        <v>0</v>
      </c>
      <c r="I13" s="220">
        <f t="shared" si="4"/>
        <v>0</v>
      </c>
      <c r="J13" s="220">
        <f t="shared" si="4"/>
        <v>0</v>
      </c>
      <c r="K13" s="223">
        <f t="shared" si="4"/>
        <v>0</v>
      </c>
      <c r="L13" s="223">
        <f t="shared" si="4"/>
        <v>0</v>
      </c>
      <c r="M13" s="223">
        <f t="shared" si="4"/>
        <v>0</v>
      </c>
      <c r="N13" s="223">
        <f t="shared" si="4"/>
        <v>0</v>
      </c>
      <c r="O13" s="223"/>
      <c r="P13" s="78" t="str">
        <f>IF(Introduction!C7="Please select before proceeding","select test",IF(Introduction!C8="Please select before proceeding","select units",IF(D13="","",IF(F13="","Enter Yield",IF(Calc!G21&lt;=0,"",IF(Calc!G21&lt;Calc!F21,Calc!D21,IF(Calc!G21&lt;=Calc!R21,Calc!K21,IF(Calc!G21&gt;Calc!R21,Calc!Q21))))))))</f>
        <v/>
      </c>
      <c r="Q13" s="63" t="str">
        <f>IF(Calc!G25=0,"",IF(H12="","enter CEC",(IF(OR(AND(D13="Alfalfa",Calc!G25&gt;Calc!F25),AND(D13="Corn-Silage",Calc!G25&gt;Calc!F25)),Calc!T25,IF(Calc!G25&lt;=Calc!F25,Calc!E25,IF(Calc!G25&lt;=Calc!R25,Calc!K25,IF(Calc!G25&gt;Calc!R25,Calc!Q25,)))))))</f>
        <v/>
      </c>
      <c r="R13" s="214"/>
    </row>
    <row r="14" spans="1:19" ht="15.75" thickBot="1">
      <c r="A14" s="219"/>
      <c r="B14" s="219"/>
      <c r="C14" s="66" t="str">
        <f>C10</f>
        <v/>
      </c>
      <c r="D14" s="67"/>
      <c r="E14" s="59" t="str">
        <f>IF(D14="","",VLOOKUP(D14,Calc!$Z$2:$AA$7,2,))</f>
        <v/>
      </c>
      <c r="F14" s="60"/>
      <c r="G14" s="222">
        <f t="shared" ref="G14:N14" si="5">G12</f>
        <v>0</v>
      </c>
      <c r="H14" s="220">
        <f t="shared" si="5"/>
        <v>0</v>
      </c>
      <c r="I14" s="220">
        <f t="shared" si="5"/>
        <v>0</v>
      </c>
      <c r="J14" s="220">
        <f t="shared" si="5"/>
        <v>0</v>
      </c>
      <c r="K14" s="223">
        <f t="shared" si="5"/>
        <v>0</v>
      </c>
      <c r="L14" s="223">
        <f t="shared" si="5"/>
        <v>0</v>
      </c>
      <c r="M14" s="223">
        <f t="shared" si="5"/>
        <v>0</v>
      </c>
      <c r="N14" s="223">
        <f t="shared" si="5"/>
        <v>0</v>
      </c>
      <c r="O14" s="223"/>
      <c r="P14" s="78" t="str">
        <f>IF(Introduction!C7="Please select before proceeding","select test",IF(Introduction!C8="Please select before proceeding","select units",IF(D14="","",IF(F14="","Enter Yield",IF(Calc!G22&lt;=0,"",IF(Calc!G22&lt;Calc!F22,Calc!D22,IF(Calc!G22&lt;=Calc!R22,Calc!K22,IF(Calc!G22&gt;Calc!R22,Calc!Q22))))))))</f>
        <v/>
      </c>
      <c r="Q14" s="63" t="str">
        <f>IF(Calc!G26=0,"",IF(H12="","enter CEC",(IF(OR(AND(D14="Alfalfa",Calc!G26&gt;Calc!F26),AND(D14="Corn-Silage",Calc!G26&gt;Calc!F26)),Calc!T26,IF(Calc!G26&lt;=Calc!F26,Calc!E26,IF(Calc!G26&lt;=Calc!R26,Calc!K26,IF(Calc!G26&gt;Calc!R26,Calc!Q26,)))))))</f>
        <v/>
      </c>
      <c r="R14" s="224"/>
    </row>
    <row r="15" spans="1:19" ht="5.25" customHeight="1" thickBot="1">
      <c r="A15" s="80"/>
      <c r="B15" s="83"/>
      <c r="C15" s="81"/>
      <c r="D15" s="82"/>
      <c r="E15" s="83"/>
      <c r="F15" s="81"/>
      <c r="G15" s="83"/>
      <c r="H15" s="83"/>
      <c r="I15" s="83"/>
      <c r="J15" s="72"/>
      <c r="K15" s="83"/>
      <c r="L15" s="83"/>
      <c r="M15" s="83"/>
      <c r="N15" s="83"/>
      <c r="O15" s="83"/>
      <c r="P15" s="83"/>
      <c r="Q15" s="83"/>
      <c r="R15" s="84"/>
    </row>
    <row r="16" spans="1:19" ht="15">
      <c r="A16" s="74"/>
      <c r="B16" s="74"/>
      <c r="C16" s="133" t="str">
        <f>C12</f>
        <v/>
      </c>
      <c r="D16" s="67"/>
      <c r="E16" s="59" t="str">
        <f>IF(D16="","",VLOOKUP(D16,Calc!$Z$2:$AA$7,2,))</f>
        <v/>
      </c>
      <c r="F16" s="60"/>
      <c r="G16" s="76"/>
      <c r="H16" s="76"/>
      <c r="I16" s="76"/>
      <c r="J16" s="76"/>
      <c r="K16" s="75"/>
      <c r="L16" s="75"/>
      <c r="M16" s="75"/>
      <c r="N16" s="77"/>
      <c r="O16" s="62"/>
      <c r="P16" s="78" t="str">
        <f>IF(Introduction!C7="Please select before proceeding","select test",IF(Introduction!C8="Please select before proceeding","select units",IF(F16="","Enter Yield",IF(Calc!G29&lt;=0,"",IF(Calc!G29&lt;Calc!F29,Calc!D29,IF(Calc!G29&lt;=Calc!R29,Calc!K29,IF(Calc!G29&gt;Calc!R29,Calc!Q29)))))))</f>
        <v>Enter Yield</v>
      </c>
      <c r="Q16" s="63" t="str">
        <f>IF(Calc!G33=0,"",IF(H16="","enter CEC",(IF(OR(AND(D16="Alfalfa",Calc!G33&gt;Calc!F33),AND(D16="Corn-Silage",Calc!G33&gt;Calc!F33)),Calc!T33,IF(Calc!G33&lt;=Calc!F33,Calc!E33,IF(Calc!G33&lt;=Calc!R33,Calc!K33,IF(Calc!G33&gt;Calc!R33,Calc!Q33,)))))))</f>
        <v/>
      </c>
      <c r="R16" s="64" t="str">
        <f>IF(J16="","Need Buff pH",IF(O16=6.8,Calc!W29,IF(O16=6.5,Calc!X29,IF(O16=6,Calc!Y29,"select target pH"))))</f>
        <v>Need Buff pH</v>
      </c>
    </row>
    <row r="17" spans="1:18" ht="15">
      <c r="A17" s="219"/>
      <c r="B17" s="219"/>
      <c r="C17" s="65" t="str">
        <f>C13</f>
        <v/>
      </c>
      <c r="D17" s="67"/>
      <c r="E17" s="59" t="str">
        <f>IF(D17="","",VLOOKUP(D17,Calc!$Z$2:$AA$7,2,))</f>
        <v/>
      </c>
      <c r="F17" s="60"/>
      <c r="G17" s="222">
        <f t="shared" ref="G17:N17" si="6">G16</f>
        <v>0</v>
      </c>
      <c r="H17" s="220">
        <f>H16</f>
        <v>0</v>
      </c>
      <c r="I17" s="220">
        <f t="shared" si="6"/>
        <v>0</v>
      </c>
      <c r="J17" s="220">
        <f t="shared" si="6"/>
        <v>0</v>
      </c>
      <c r="K17" s="223">
        <f t="shared" si="6"/>
        <v>0</v>
      </c>
      <c r="L17" s="223">
        <f t="shared" si="6"/>
        <v>0</v>
      </c>
      <c r="M17" s="223">
        <f t="shared" si="6"/>
        <v>0</v>
      </c>
      <c r="N17" s="223">
        <f t="shared" si="6"/>
        <v>0</v>
      </c>
      <c r="O17" s="223"/>
      <c r="P17" s="78" t="str">
        <f>IF(Introduction!C7="Please select before proceeding","select test",IF(Introduction!C8="Please select before proceeding","select units",IF(D17="","",IF(F17="","Enter Yield",IF(Calc!G30&lt;=0,"",IF(Calc!G30&lt;Calc!F30,Calc!D30,IF(Calc!G30&lt;=Calc!R30,Calc!K30,IF(Calc!G30&gt;Calc!R30,Calc!Q30))))))))</f>
        <v/>
      </c>
      <c r="Q17" s="63" t="str">
        <f>IF(Calc!G34=0,"",IF(H16="","enter CEC",(IF(OR(AND(D17="Alfalfa",Calc!G34&gt;Calc!F34),AND(D17="Corn-Silage",Calc!G34&gt;Calc!F34)),Calc!T34,IF(Calc!G34&lt;=Calc!F34,Calc!E34,IF(Calc!G34&lt;=Calc!R34,Calc!K34,IF(Calc!G34&gt;Calc!R34,Calc!Q34,)))))))</f>
        <v/>
      </c>
      <c r="R17" s="214"/>
    </row>
    <row r="18" spans="1:18" ht="15.75" thickBot="1">
      <c r="A18" s="219"/>
      <c r="B18" s="219"/>
      <c r="C18" s="66" t="str">
        <f>C14</f>
        <v/>
      </c>
      <c r="D18" s="67"/>
      <c r="E18" s="59" t="str">
        <f>IF(D18="","",VLOOKUP(D18,Calc!$Z$2:$AA$7,2,))</f>
        <v/>
      </c>
      <c r="F18" s="60"/>
      <c r="G18" s="222">
        <f t="shared" ref="G18:N18" si="7">G16</f>
        <v>0</v>
      </c>
      <c r="H18" s="220">
        <f t="shared" si="7"/>
        <v>0</v>
      </c>
      <c r="I18" s="220">
        <f t="shared" si="7"/>
        <v>0</v>
      </c>
      <c r="J18" s="220">
        <f t="shared" si="7"/>
        <v>0</v>
      </c>
      <c r="K18" s="223">
        <f t="shared" si="7"/>
        <v>0</v>
      </c>
      <c r="L18" s="223">
        <f t="shared" si="7"/>
        <v>0</v>
      </c>
      <c r="M18" s="223">
        <f t="shared" si="7"/>
        <v>0</v>
      </c>
      <c r="N18" s="223">
        <f t="shared" si="7"/>
        <v>0</v>
      </c>
      <c r="O18" s="223"/>
      <c r="P18" s="78" t="str">
        <f>IF(Introduction!C7="Please select before proceeding","select test",IF(Introduction!C8="Please select before proceeding","select units",IF(D18="","",IF(F18="","Enter Yield",IF(Calc!G31&lt;=0,"",IF(Calc!G31&lt;Calc!F31,Calc!D31,IF(Calc!G31&lt;=Calc!R31,Calc!K31,IF(Calc!G31&gt;Calc!R31,Calc!Q31))))))))</f>
        <v/>
      </c>
      <c r="Q18" s="63" t="str">
        <f>IF(Calc!G35=0,"",IF(H16="","enter CEC",(IF(OR(AND(D18="Alfalfa",Calc!G35&gt;Calc!F35),AND(D18="Corn-Silage",Calc!G35&gt;Calc!F35)),Calc!T35,IF(Calc!G35&lt;=Calc!F35,Calc!E35,IF(Calc!G35&lt;=Calc!R35,Calc!K35,IF(Calc!G35&gt;Calc!R35,Calc!Q35,)))))))</f>
        <v/>
      </c>
      <c r="R18" s="224"/>
    </row>
    <row r="19" spans="1:18" ht="5.25" customHeight="1" thickBot="1">
      <c r="A19" s="80"/>
      <c r="B19" s="83"/>
      <c r="C19" s="81"/>
      <c r="D19" s="82"/>
      <c r="E19" s="83"/>
      <c r="F19" s="81"/>
      <c r="G19" s="83"/>
      <c r="H19" s="83"/>
      <c r="I19" s="83"/>
      <c r="J19" s="72"/>
      <c r="K19" s="83"/>
      <c r="L19" s="83"/>
      <c r="M19" s="83"/>
      <c r="N19" s="83"/>
      <c r="O19" s="83"/>
      <c r="P19" s="83"/>
      <c r="Q19" s="83"/>
      <c r="R19" s="84"/>
    </row>
    <row r="20" spans="1:18" ht="15">
      <c r="A20" s="74"/>
      <c r="B20" s="74"/>
      <c r="C20" s="133" t="str">
        <f>C16</f>
        <v/>
      </c>
      <c r="D20" s="67"/>
      <c r="E20" s="59" t="str">
        <f>IF(D20="","",VLOOKUP(D20,Calc!$Z$2:$AA$7,2,))</f>
        <v/>
      </c>
      <c r="F20" s="60"/>
      <c r="G20" s="76"/>
      <c r="H20" s="76"/>
      <c r="I20" s="76"/>
      <c r="J20" s="76"/>
      <c r="K20" s="75"/>
      <c r="L20" s="75"/>
      <c r="M20" s="75"/>
      <c r="N20" s="77"/>
      <c r="O20" s="62"/>
      <c r="P20" s="78" t="str">
        <f>IF(Introduction!C7="Please select before proceeding","select test",IF(Introduction!C8="Please select before proceeding","select units",IF(F20="","Enter Yield",IF(Calc!G38&lt;=0,"",IF(Calc!G38&lt;Calc!F38,Calc!D38,IF(Calc!G38&lt;=Calc!R38,Calc!K38,IF(Calc!G38&gt;Calc!R38,Calc!Q38)))))))</f>
        <v>Enter Yield</v>
      </c>
      <c r="Q20" s="63" t="str">
        <f>IF(Calc!G42=0,"",IF(H20="","enter CEC",(IF(OR(AND(D20="Alfalfa",Calc!G42&gt;Calc!F42),AND(D20="Corn-Silage",Calc!G42&gt;Calc!F42)),Calc!T42,IF(Calc!G42&lt;=Calc!F42,Calc!E42,IF(Calc!G42&lt;=Calc!R42,Calc!K42,IF(Calc!G42&gt;Calc!R42,Calc!Q42,)))))))</f>
        <v/>
      </c>
      <c r="R20" s="64" t="str">
        <f>IF(J20="","Need Buff pH",IF(O20=6.8,Calc!W38,IF(O20=6.5,Calc!X38,IF(O20=6,Calc!Y38,"select target pH"))))</f>
        <v>Need Buff pH</v>
      </c>
    </row>
    <row r="21" spans="1:18" ht="15">
      <c r="A21" s="219"/>
      <c r="B21" s="219"/>
      <c r="C21" s="65" t="str">
        <f>C17</f>
        <v/>
      </c>
      <c r="D21" s="67"/>
      <c r="E21" s="59" t="str">
        <f>IF(D21="","",VLOOKUP(D21,Calc!$Z$2:$AA$7,2,))</f>
        <v/>
      </c>
      <c r="F21" s="60"/>
      <c r="G21" s="222">
        <f t="shared" ref="G21:N21" si="8">G20</f>
        <v>0</v>
      </c>
      <c r="H21" s="220">
        <f t="shared" si="8"/>
        <v>0</v>
      </c>
      <c r="I21" s="220">
        <f t="shared" si="8"/>
        <v>0</v>
      </c>
      <c r="J21" s="220">
        <f t="shared" si="8"/>
        <v>0</v>
      </c>
      <c r="K21" s="223">
        <f t="shared" si="8"/>
        <v>0</v>
      </c>
      <c r="L21" s="223">
        <f t="shared" si="8"/>
        <v>0</v>
      </c>
      <c r="M21" s="223">
        <f t="shared" si="8"/>
        <v>0</v>
      </c>
      <c r="N21" s="223">
        <f t="shared" si="8"/>
        <v>0</v>
      </c>
      <c r="O21" s="223"/>
      <c r="P21" s="78" t="str">
        <f>IF(Introduction!C7="Please select before proceeding","select test",IF(Introduction!C8="Please select before proceeding","select units",IF(D21="","",IF(F21="","Enter Yield",IF(Calc!G39&lt;=0,"",IF(Calc!G39&lt;Calc!F39,Calc!D39,IF(Calc!G39&lt;=Calc!R39,Calc!K39,IF(Calc!G39&gt;Calc!R39,Calc!Q39))))))))</f>
        <v/>
      </c>
      <c r="Q21" s="63" t="str">
        <f>IF(Calc!G43=0,"",IF(H20="","enter CEC",(IF(OR(AND(D21="Alfalfa",Calc!G43&gt;Calc!F43),AND(D21="Corn-Silage",Calc!G43&gt;Calc!F43)),Calc!T43,IF(Calc!G43&lt;=Calc!F43,Calc!E43,IF(Calc!G43&lt;=Calc!R43,Calc!K43,IF(Calc!G43&gt;Calc!R43,Calc!Q43,)))))))</f>
        <v/>
      </c>
      <c r="R21" s="214"/>
    </row>
    <row r="22" spans="1:18" ht="15.75" thickBot="1">
      <c r="A22" s="219"/>
      <c r="B22" s="219"/>
      <c r="C22" s="66" t="str">
        <f>C18</f>
        <v/>
      </c>
      <c r="D22" s="67"/>
      <c r="E22" s="59" t="str">
        <f>IF(D22="","",VLOOKUP(D22,Calc!$Z$2:$AA$7,2,))</f>
        <v/>
      </c>
      <c r="F22" s="60"/>
      <c r="G22" s="222">
        <f t="shared" ref="G22:N22" si="9">G20</f>
        <v>0</v>
      </c>
      <c r="H22" s="220">
        <f t="shared" si="9"/>
        <v>0</v>
      </c>
      <c r="I22" s="220">
        <f t="shared" si="9"/>
        <v>0</v>
      </c>
      <c r="J22" s="220">
        <f t="shared" si="9"/>
        <v>0</v>
      </c>
      <c r="K22" s="223">
        <f t="shared" si="9"/>
        <v>0</v>
      </c>
      <c r="L22" s="223">
        <f t="shared" si="9"/>
        <v>0</v>
      </c>
      <c r="M22" s="223">
        <f t="shared" si="9"/>
        <v>0</v>
      </c>
      <c r="N22" s="223">
        <f t="shared" si="9"/>
        <v>0</v>
      </c>
      <c r="O22" s="223"/>
      <c r="P22" s="78" t="str">
        <f>IF(Introduction!C7="Please select before proceeding","select test",IF(Introduction!C8="Please select before proceeding","select units",IF(D22="","",IF(F22="","Enter Yield",IF(Calc!G40&lt;=0,"",IF(Calc!G40&lt;Calc!F40,Calc!D40,IF(Calc!G40&lt;=Calc!R40,Calc!K40,IF(Calc!G40&gt;Calc!R40,Calc!Q40))))))))</f>
        <v/>
      </c>
      <c r="Q22" s="63" t="str">
        <f>IF(Calc!G44=0,"",IF(H20="","enter CEC",(IF(OR(AND(D22="Alfalfa",Calc!G44&gt;Calc!F44),AND(D22="Corn-Silage",Calc!G44&gt;Calc!F44)),Calc!T44,IF(Calc!G44&lt;=Calc!F44,Calc!E44,IF(Calc!G44&lt;=Calc!R44,Calc!K44,IF(Calc!G44&gt;Calc!R44,Calc!Q44,)))))))</f>
        <v/>
      </c>
      <c r="R22" s="224"/>
    </row>
    <row r="23" spans="1:18" ht="5.25" customHeight="1" thickBot="1">
      <c r="A23" s="80"/>
      <c r="B23" s="83"/>
      <c r="C23" s="81"/>
      <c r="D23" s="82"/>
      <c r="E23" s="83"/>
      <c r="F23" s="81"/>
      <c r="G23" s="83"/>
      <c r="H23" s="83"/>
      <c r="I23" s="83"/>
      <c r="J23" s="72"/>
      <c r="K23" s="83"/>
      <c r="L23" s="83"/>
      <c r="M23" s="83"/>
      <c r="N23" s="83"/>
      <c r="O23" s="83"/>
      <c r="P23" s="83"/>
      <c r="Q23" s="83"/>
      <c r="R23" s="84"/>
    </row>
    <row r="24" spans="1:18" ht="15">
      <c r="A24" s="74"/>
      <c r="B24" s="74"/>
      <c r="C24" s="133" t="str">
        <f>C20</f>
        <v/>
      </c>
      <c r="D24" s="67"/>
      <c r="E24" s="59" t="str">
        <f>IF(D24="","",VLOOKUP(D24,Calc!$Z$2:$AA$7,2,))</f>
        <v/>
      </c>
      <c r="F24" s="60"/>
      <c r="G24" s="76"/>
      <c r="H24" s="76"/>
      <c r="I24" s="76"/>
      <c r="J24" s="76"/>
      <c r="K24" s="75"/>
      <c r="L24" s="75"/>
      <c r="M24" s="75"/>
      <c r="N24" s="77"/>
      <c r="O24" s="62"/>
      <c r="P24" s="78" t="str">
        <f>IF(Introduction!C7="Please select before proceeding","select test",IF(Introduction!C8="Please select before proceeding","select units",IF(F24="","Enter Yield",IF(Calc!G47&lt;=0,"",IF(Calc!G47&lt;Calc!F47,Calc!D47,IF(Calc!G47&lt;=Calc!R47,Calc!K47,IF(Calc!G47&gt;Calc!R47,Calc!Q47)))))))</f>
        <v>Enter Yield</v>
      </c>
      <c r="Q24" s="63" t="str">
        <f>IF(Calc!G51=0,"",IF(H24="","enter CEC",(IF(OR(AND(D24="Alfalfa",Calc!G51&gt;Calc!F51),AND(D24="Corn-Silage",Calc!G51&gt;Calc!F51)),Calc!T51,IF(Calc!G51&lt;=Calc!F51,Calc!E51,IF(Calc!G51&lt;=Calc!R51,Calc!K51,IF(Calc!G51&gt;Calc!R51,Calc!Q51,)))))))</f>
        <v/>
      </c>
      <c r="R24" s="64" t="str">
        <f>IF(J24="","Need Buff pH",IF(O24=6.8,Calc!W47,IF(O24=6.5,Calc!X47,IF(O24=6,Calc!Y47,"select target pH"))))</f>
        <v>Need Buff pH</v>
      </c>
    </row>
    <row r="25" spans="1:18" ht="15">
      <c r="A25" s="219"/>
      <c r="B25" s="219"/>
      <c r="C25" s="65" t="str">
        <f>C21</f>
        <v/>
      </c>
      <c r="D25" s="67"/>
      <c r="E25" s="59" t="str">
        <f>IF(D25="","",VLOOKUP(D25,Calc!$Z$2:$AA$7,2,))</f>
        <v/>
      </c>
      <c r="F25" s="60"/>
      <c r="G25" s="222">
        <f t="shared" ref="G25:N25" si="10">G24</f>
        <v>0</v>
      </c>
      <c r="H25" s="220">
        <f t="shared" si="10"/>
        <v>0</v>
      </c>
      <c r="I25" s="220">
        <f t="shared" si="10"/>
        <v>0</v>
      </c>
      <c r="J25" s="220">
        <f t="shared" si="10"/>
        <v>0</v>
      </c>
      <c r="K25" s="223">
        <f t="shared" si="10"/>
        <v>0</v>
      </c>
      <c r="L25" s="223">
        <f t="shared" si="10"/>
        <v>0</v>
      </c>
      <c r="M25" s="223">
        <f t="shared" si="10"/>
        <v>0</v>
      </c>
      <c r="N25" s="223">
        <f t="shared" si="10"/>
        <v>0</v>
      </c>
      <c r="O25" s="223"/>
      <c r="P25" s="78" t="str">
        <f>IF(Introduction!C7="Please select before proceeding","select test",IF(Introduction!C8="Please select before proceeding","select units",IF(D25="","",IF(F25="","Enter Yield",IF(Calc!G48&lt;=0,"",IF(Calc!G48&lt;Calc!F48,Calc!D48,IF(Calc!G48&lt;=Calc!R48,Calc!K48,IF(Calc!G48&gt;Calc!R48,Calc!Q48))))))))</f>
        <v/>
      </c>
      <c r="Q25" s="63" t="str">
        <f>IF(Calc!G52=0,"",IF(H24="","enter CEC",(IF(OR(AND(D25="Alfalfa",Calc!G52&gt;Calc!F52),AND(D25="Corn-Silage",Calc!G52&gt;Calc!F52)),Calc!T52,IF(Calc!G52&lt;=Calc!F52,Calc!E52,IF(Calc!G52&lt;=Calc!R52,Calc!K52,IF(Calc!G52&gt;Calc!R52,Calc!Q52,)))))))</f>
        <v/>
      </c>
      <c r="R25" s="214"/>
    </row>
    <row r="26" spans="1:18" ht="15.75" thickBot="1">
      <c r="A26" s="219"/>
      <c r="B26" s="219"/>
      <c r="C26" s="66" t="str">
        <f>C22</f>
        <v/>
      </c>
      <c r="D26" s="67"/>
      <c r="E26" s="59" t="str">
        <f>IF(D26="","",VLOOKUP(D26,Calc!$Z$2:$AA$7,2,))</f>
        <v/>
      </c>
      <c r="F26" s="60"/>
      <c r="G26" s="222">
        <f t="shared" ref="G26:L26" si="11">G24</f>
        <v>0</v>
      </c>
      <c r="H26" s="220">
        <f t="shared" si="11"/>
        <v>0</v>
      </c>
      <c r="I26" s="220">
        <f t="shared" si="11"/>
        <v>0</v>
      </c>
      <c r="J26" s="220">
        <f t="shared" si="11"/>
        <v>0</v>
      </c>
      <c r="K26" s="223">
        <f t="shared" si="11"/>
        <v>0</v>
      </c>
      <c r="L26" s="223">
        <f t="shared" si="11"/>
        <v>0</v>
      </c>
      <c r="M26" s="223"/>
      <c r="N26" s="223"/>
      <c r="O26" s="223"/>
      <c r="P26" s="78" t="str">
        <f>IF(Introduction!C7="Please select before proceeding","select test",IF(Introduction!C8="Please select before proceeding","select units",IF(D26="","",IF(F26="","Enter Yield",IF(Calc!G49&lt;=0,"",IF(Calc!G49&lt;Calc!F49,Calc!D49,IF(Calc!G49&lt;=Calc!R49,Calc!K49,IF(Calc!G49&gt;Calc!R49,Calc!Q49))))))))</f>
        <v/>
      </c>
      <c r="Q26" s="63" t="str">
        <f>IF(Calc!G53=0,"",IF(H24="","enter CEC",(IF(OR(AND(D26="Alfalfa",Calc!G53&gt;Calc!F53),AND(D26="Corn-Silage",Calc!G53&gt;Calc!F53)),Calc!T53,IF(Calc!G53&lt;=Calc!F53,Calc!E53,IF(Calc!G53&lt;=Calc!R53,Calc!K53,IF(Calc!G53&gt;Calc!R53,Calc!Q53,)))))))</f>
        <v/>
      </c>
      <c r="R26" s="224"/>
    </row>
    <row r="27" spans="1:18" ht="4.5" customHeight="1" thickBot="1">
      <c r="A27" s="80"/>
      <c r="B27" s="83"/>
      <c r="C27" s="81"/>
      <c r="D27" s="82"/>
      <c r="E27" s="83"/>
      <c r="F27" s="81"/>
      <c r="G27" s="83"/>
      <c r="H27" s="83"/>
      <c r="I27" s="83"/>
      <c r="J27" s="72"/>
      <c r="K27" s="83"/>
      <c r="L27" s="83"/>
      <c r="M27" s="83"/>
      <c r="N27" s="83"/>
      <c r="O27" s="83"/>
      <c r="P27" s="83"/>
      <c r="Q27" s="83"/>
      <c r="R27" s="84"/>
    </row>
    <row r="28" spans="1:18" ht="15">
      <c r="A28" s="74"/>
      <c r="B28" s="74"/>
      <c r="C28" s="133" t="str">
        <f>C24</f>
        <v/>
      </c>
      <c r="D28" s="67"/>
      <c r="E28" s="59" t="str">
        <f>IF(D28="","",VLOOKUP(D28,Calc!$Z$2:$AA$7,2,))</f>
        <v/>
      </c>
      <c r="F28" s="60"/>
      <c r="G28" s="76"/>
      <c r="H28" s="76"/>
      <c r="I28" s="76"/>
      <c r="J28" s="76"/>
      <c r="K28" s="75"/>
      <c r="L28" s="75"/>
      <c r="M28" s="75"/>
      <c r="N28" s="77"/>
      <c r="O28" s="62"/>
      <c r="P28" s="78" t="str">
        <f>IF(Introduction!C7="Please select before proceeding","select test",IF(Introduction!C8="Please select before proceeding","select units",IF(F28="","Enter Yield",IF(Calc!G56&lt;=0,"",IF(Calc!G56&lt;Calc!F56,Calc!D56,IF(Calc!G56&lt;=Calc!R56,Calc!K56,IF(Calc!G56&gt;Calc!R56,Calc!Q56)))))))</f>
        <v>Enter Yield</v>
      </c>
      <c r="Q28" s="63" t="str">
        <f>IF(Calc!G60=0,"",IF(H28="","enter CEC",(IF(OR(AND(D28="Alfalfa",Calc!G60&gt;Calc!F60),AND(D28="Corn-Silage",Calc!G60&gt;Calc!F60)),Calc!T60,IF(Calc!R60,IF(Calc!G60&lt;=Calc!F60,Calc!E60,IF(Calc!G60&lt;=Calc!R60,Calc!K60,IF(Calc!G60&gt;Calc!R60,Calc!Q60,))))))))</f>
        <v/>
      </c>
      <c r="R28" s="64" t="str">
        <f>IF(J28="","Need Buff pH",IF(O28=6.8,Calc!W56,IF(O28=6.5,Calc!X56,IF(O28=6,Calc!Y56,"select target pH"))))</f>
        <v>Need Buff pH</v>
      </c>
    </row>
    <row r="29" spans="1:18" ht="15">
      <c r="A29" s="219"/>
      <c r="B29" s="219"/>
      <c r="C29" s="65" t="str">
        <f>C25</f>
        <v/>
      </c>
      <c r="D29" s="67"/>
      <c r="E29" s="59" t="str">
        <f>IF(D29="","",VLOOKUP(D29,Calc!$Z$2:$AA$7,2,))</f>
        <v/>
      </c>
      <c r="F29" s="60"/>
      <c r="G29" s="222">
        <f t="shared" ref="G29:N29" si="12">G28</f>
        <v>0</v>
      </c>
      <c r="H29" s="220">
        <f t="shared" si="12"/>
        <v>0</v>
      </c>
      <c r="I29" s="220">
        <f t="shared" si="12"/>
        <v>0</v>
      </c>
      <c r="J29" s="220">
        <f t="shared" si="12"/>
        <v>0</v>
      </c>
      <c r="K29" s="223">
        <f t="shared" si="12"/>
        <v>0</v>
      </c>
      <c r="L29" s="223">
        <f t="shared" si="12"/>
        <v>0</v>
      </c>
      <c r="M29" s="223">
        <f t="shared" si="12"/>
        <v>0</v>
      </c>
      <c r="N29" s="223">
        <f t="shared" si="12"/>
        <v>0</v>
      </c>
      <c r="O29" s="223"/>
      <c r="P29" s="78" t="str">
        <f>IF(Introduction!C7="Please select before proceeding","select test",IF(Introduction!C8="Please select before proceeding","select units",IF(D29="","",IF(F29="","Enter Yield",IF(Calc!G57&lt;=0,"",IF(Calc!G57&lt;Calc!F57,Calc!D57,IF(Calc!G57&lt;=Calc!R57,Calc!K57,IF(Calc!G57&gt;Calc!R57,Calc!Q57))))))))</f>
        <v/>
      </c>
      <c r="Q29" s="63" t="str">
        <f>IF(Calc!G61=0,"",IF(H28="","enter CEC",(IF(OR(AND(D29="Alfalfa",Calc!G61&gt;Calc!F61),AND(D29="Corn-Silage",Calc!G61&gt;Calc!F61)),Calc!T61,IF(Calc!R61,IF(Calc!G61&lt;=Calc!F61,Calc!E61,IF(Calc!G61&lt;=Calc!R61,Calc!K61,IF(Calc!G61&gt;Calc!R61,Calc!Q61,))))))))</f>
        <v/>
      </c>
      <c r="R29" s="214"/>
    </row>
    <row r="30" spans="1:18" ht="15.75" thickBot="1">
      <c r="A30" s="219"/>
      <c r="B30" s="219"/>
      <c r="C30" s="66" t="str">
        <f>C26</f>
        <v/>
      </c>
      <c r="D30" s="67"/>
      <c r="E30" s="59" t="str">
        <f>IF(D30="","",VLOOKUP(D30,Calc!$Z$2:$AA$7,2,))</f>
        <v/>
      </c>
      <c r="F30" s="60"/>
      <c r="G30" s="222">
        <f t="shared" ref="G30:N30" si="13">G28</f>
        <v>0</v>
      </c>
      <c r="H30" s="220">
        <f t="shared" si="13"/>
        <v>0</v>
      </c>
      <c r="I30" s="220">
        <f t="shared" si="13"/>
        <v>0</v>
      </c>
      <c r="J30" s="220">
        <f t="shared" si="13"/>
        <v>0</v>
      </c>
      <c r="K30" s="223">
        <f t="shared" si="13"/>
        <v>0</v>
      </c>
      <c r="L30" s="223">
        <f t="shared" si="13"/>
        <v>0</v>
      </c>
      <c r="M30" s="223">
        <f t="shared" si="13"/>
        <v>0</v>
      </c>
      <c r="N30" s="223">
        <f t="shared" si="13"/>
        <v>0</v>
      </c>
      <c r="O30" s="223"/>
      <c r="P30" s="78" t="str">
        <f>IF(Introduction!C7="Please select before proceeding","select test",IF(Introduction!C8="Please select before proceeding","select units",IF(D30="","",IF(F30="","Enter Yield",IF(Calc!G58&lt;=0,"",IF(Calc!G58&lt;Calc!F58,Calc!D58,IF(Calc!G58&lt;=Calc!R58,Calc!K58,IF(Calc!G58&gt;Calc!R58,Calc!Q58))))))))</f>
        <v/>
      </c>
      <c r="Q30" s="63" t="str">
        <f>IF(Calc!G62=0,"",IF(H28="","enter CEC",(IF(OR(AND(D30="Alfalfa",Calc!G62&gt;Calc!F62),AND(D30="Corn-Silage",Calc!G62&gt;Calc!F62)),Calc!T62,IF(Calc!R62,IF(Calc!G62&lt;=Calc!F62,Calc!E62,IF(Calc!G62&lt;=Calc!R62,Calc!K62,IF(Calc!G62&gt;Calc!R62,Calc!Q62,))))))))</f>
        <v/>
      </c>
      <c r="R30" s="224"/>
    </row>
    <row r="31" spans="1:18" ht="5.25" customHeight="1" thickBot="1">
      <c r="A31" s="55"/>
      <c r="B31" s="56"/>
      <c r="C31" s="56"/>
      <c r="D31" s="56"/>
      <c r="E31" s="56"/>
      <c r="F31" s="56"/>
      <c r="G31" s="56"/>
      <c r="H31" s="56"/>
      <c r="I31" s="56"/>
      <c r="J31" s="56"/>
      <c r="K31" s="56"/>
      <c r="L31" s="56"/>
      <c r="M31" s="56"/>
      <c r="N31" s="56"/>
      <c r="O31" s="56"/>
      <c r="P31" s="56"/>
      <c r="Q31" s="56"/>
      <c r="R31" s="57"/>
    </row>
    <row r="32" spans="1:18">
      <c r="P32" s="3" t="s">
        <v>113</v>
      </c>
    </row>
    <row r="33" spans="1:16">
      <c r="P33" s="3" t="s">
        <v>119</v>
      </c>
    </row>
    <row r="45" spans="1:16">
      <c r="A45" s="139"/>
      <c r="B45" s="267" t="s">
        <v>0</v>
      </c>
      <c r="C45" s="139"/>
      <c r="D45" s="267" t="s">
        <v>19</v>
      </c>
    </row>
    <row r="46" spans="1:16">
      <c r="A46" s="139"/>
      <c r="B46" s="139"/>
      <c r="C46" s="139"/>
      <c r="D46" s="139"/>
    </row>
    <row r="47" spans="1:16">
      <c r="A47" s="139" t="s">
        <v>2</v>
      </c>
      <c r="B47" s="268">
        <v>6.8</v>
      </c>
      <c r="C47" s="139"/>
      <c r="D47" s="139">
        <v>2012</v>
      </c>
    </row>
    <row r="48" spans="1:16">
      <c r="A48" s="139" t="s">
        <v>10</v>
      </c>
      <c r="B48" s="268">
        <v>6.5</v>
      </c>
      <c r="C48" s="139"/>
      <c r="D48" s="139">
        <v>2013</v>
      </c>
    </row>
    <row r="49" spans="1:4">
      <c r="A49" s="139" t="s">
        <v>3</v>
      </c>
      <c r="B49" s="268">
        <v>6</v>
      </c>
      <c r="C49" s="139"/>
      <c r="D49" s="139">
        <v>2014</v>
      </c>
    </row>
    <row r="50" spans="1:4">
      <c r="A50" s="267" t="s">
        <v>38</v>
      </c>
      <c r="B50" s="139"/>
      <c r="C50" s="139"/>
      <c r="D50" s="139">
        <v>2015</v>
      </c>
    </row>
    <row r="51" spans="1:4">
      <c r="A51" s="267" t="s">
        <v>39</v>
      </c>
      <c r="B51" s="139"/>
      <c r="C51" s="139"/>
      <c r="D51" s="139">
        <v>2016</v>
      </c>
    </row>
    <row r="52" spans="1:4">
      <c r="A52" s="139" t="s">
        <v>4</v>
      </c>
      <c r="B52" s="139"/>
      <c r="C52" s="139"/>
      <c r="D52" s="139">
        <v>2017</v>
      </c>
    </row>
    <row r="53" spans="1:4">
      <c r="A53" s="139"/>
      <c r="B53" s="139"/>
      <c r="C53" s="139"/>
      <c r="D53" s="139">
        <v>2018</v>
      </c>
    </row>
    <row r="54" spans="1:4">
      <c r="A54" s="139"/>
      <c r="B54" s="139"/>
      <c r="C54" s="139"/>
      <c r="D54" s="139">
        <v>2019</v>
      </c>
    </row>
    <row r="55" spans="1:4">
      <c r="A55" s="139"/>
      <c r="B55" s="139"/>
      <c r="C55" s="139"/>
      <c r="D55" s="139">
        <v>2020</v>
      </c>
    </row>
  </sheetData>
  <sheetProtection password="FFAA" sheet="1" objects="1" scenarios="1" selectLockedCells="1"/>
  <dataConsolidate/>
  <phoneticPr fontId="1" type="noConversion"/>
  <dataValidations count="6">
    <dataValidation type="list" allowBlank="1" showInputMessage="1" showErrorMessage="1" promptTitle="Year" prompt="Select Crop Year" sqref="C7">
      <formula1>$A$17:$A$23</formula1>
    </dataValidation>
    <dataValidation type="list" allowBlank="1" showInputMessage="1" showErrorMessage="1" promptTitle="Year" prompt="Select Crop Year" sqref="C4">
      <formula1>$D$45:$D$55</formula1>
    </dataValidation>
    <dataValidation type="list" allowBlank="1" showInputMessage="1" showErrorMessage="1" promptTitle="Crop " prompt="Select Crop" sqref="D28:D30 D12:D14 D16:D18 D20:D22 D24:D26 D6:D10">
      <formula1>$A$46:$A$52</formula1>
    </dataValidation>
    <dataValidation type="list" allowBlank="1" showInputMessage="1" showErrorMessage="1" prompt="Pick Target pH" sqref="O4 O8 O12 O16 O20 O24 O28">
      <formula1>$B$45:$B$49</formula1>
    </dataValidation>
    <dataValidation type="list" allowBlank="1" showInputMessage="1" showErrorMessage="1" promptTitle="Crop " prompt="Select Crop" sqref="D4">
      <formula1>$A$46:$A$52</formula1>
    </dataValidation>
    <dataValidation type="list" allowBlank="1" showInputMessage="1" showErrorMessage="1" promptTitle="Crop " prompt="Select Crop" sqref="D5">
      <formula1>$A$46:$A$52</formula1>
    </dataValidation>
  </dataValidations>
  <printOptions headings="1"/>
  <pageMargins left="0.25" right="0.25" top="0.75" bottom="0.75" header="0.3" footer="0.3"/>
  <pageSetup scale="7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L37"/>
  <sheetViews>
    <sheetView view="pageLayout" zoomScaleNormal="100" workbookViewId="0">
      <selection activeCell="E8" sqref="E8"/>
    </sheetView>
  </sheetViews>
  <sheetFormatPr defaultRowHeight="12.75"/>
  <cols>
    <col min="1" max="1" width="25.5703125" customWidth="1"/>
    <col min="2" max="2" width="22.5703125" customWidth="1"/>
    <col min="3" max="3" width="1.85546875" customWidth="1"/>
    <col min="4" max="6" width="10.140625" customWidth="1"/>
    <col min="7" max="7" width="2.140625" customWidth="1"/>
    <col min="8" max="10" width="11" customWidth="1"/>
    <col min="11" max="11" width="2" customWidth="1"/>
    <col min="12" max="12" width="16.7109375" customWidth="1"/>
  </cols>
  <sheetData>
    <row r="1" spans="1:12" ht="23.25" customHeight="1"/>
    <row r="2" spans="1:12" ht="27.75" customHeight="1"/>
    <row r="3" spans="1:12" ht="17.25" customHeight="1">
      <c r="A3" s="245" t="s">
        <v>110</v>
      </c>
      <c r="B3" s="260">
        <f>Introduction!C5</f>
        <v>0</v>
      </c>
    </row>
    <row r="4" spans="1:12" ht="17.25" customHeight="1" thickBot="1">
      <c r="A4" s="262" t="s">
        <v>111</v>
      </c>
      <c r="B4" s="260">
        <f>Introduction!C6</f>
        <v>0</v>
      </c>
    </row>
    <row r="5" spans="1:12" ht="21" customHeight="1" thickBot="1">
      <c r="A5" s="265"/>
      <c r="B5" s="266"/>
      <c r="C5" s="261"/>
      <c r="D5" s="87" t="s">
        <v>67</v>
      </c>
      <c r="E5" s="87"/>
      <c r="F5" s="87"/>
      <c r="G5" s="233"/>
      <c r="H5" s="87" t="s">
        <v>68</v>
      </c>
      <c r="I5" s="87"/>
      <c r="J5" s="87"/>
      <c r="K5" s="233"/>
      <c r="L5" s="146" t="s">
        <v>30</v>
      </c>
    </row>
    <row r="6" spans="1:12" ht="15.75" thickBot="1">
      <c r="A6" s="263" t="s">
        <v>14</v>
      </c>
      <c r="B6" s="264" t="s">
        <v>65</v>
      </c>
      <c r="C6" s="234"/>
      <c r="D6" s="147">
        <f>'Input Information'!C4</f>
        <v>0</v>
      </c>
      <c r="E6" s="91" t="str">
        <f>'Input Information'!C5</f>
        <v/>
      </c>
      <c r="F6" s="91" t="str">
        <f>'Input Information'!C6</f>
        <v/>
      </c>
      <c r="G6" s="239"/>
      <c r="H6" s="147">
        <f>D6</f>
        <v>0</v>
      </c>
      <c r="I6" s="91" t="str">
        <f>E6</f>
        <v/>
      </c>
      <c r="J6" s="91" t="str">
        <f>F6</f>
        <v/>
      </c>
      <c r="K6" s="234"/>
      <c r="L6" s="148" t="s">
        <v>69</v>
      </c>
    </row>
    <row r="7" spans="1:12" ht="15.75" thickBot="1">
      <c r="A7" s="246">
        <f>'Input Information'!A4</f>
        <v>0</v>
      </c>
      <c r="B7" s="94">
        <f>'Input Information'!D4</f>
        <v>0</v>
      </c>
      <c r="C7" s="241"/>
      <c r="D7" s="98" t="str">
        <f>'Input Information'!P4</f>
        <v>Enter Yield</v>
      </c>
      <c r="E7" s="98"/>
      <c r="F7" s="98"/>
      <c r="G7" s="240"/>
      <c r="H7" s="98" t="str">
        <f>'Input Information'!Q4</f>
        <v/>
      </c>
      <c r="I7" s="99"/>
      <c r="J7" s="99"/>
      <c r="K7" s="235"/>
      <c r="L7" s="100" t="str">
        <f>'Input Information'!R4</f>
        <v>Need Buff pH</v>
      </c>
    </row>
    <row r="8" spans="1:12" ht="15">
      <c r="A8" s="247">
        <f>'Input Information'!A4</f>
        <v>0</v>
      </c>
      <c r="B8" s="88">
        <f>'Input Information'!D5</f>
        <v>0</v>
      </c>
      <c r="C8" s="242"/>
      <c r="D8" s="101"/>
      <c r="E8" s="102" t="str">
        <f>'Input Information'!P5</f>
        <v/>
      </c>
      <c r="F8" s="101"/>
      <c r="G8" s="236"/>
      <c r="H8" s="101"/>
      <c r="I8" s="102" t="str">
        <f>'Input Information'!Q5</f>
        <v/>
      </c>
      <c r="J8" s="101"/>
      <c r="K8" s="236"/>
      <c r="L8" s="103"/>
    </row>
    <row r="9" spans="1:12" ht="15.75" thickBot="1">
      <c r="A9" s="248">
        <f>'Input Information'!A4</f>
        <v>0</v>
      </c>
      <c r="B9" s="95">
        <f>'Input Information'!D6</f>
        <v>0</v>
      </c>
      <c r="C9" s="243"/>
      <c r="D9" s="104"/>
      <c r="E9" s="104"/>
      <c r="F9" s="105" t="str">
        <f>'Input Information'!P6</f>
        <v/>
      </c>
      <c r="G9" s="237"/>
      <c r="H9" s="104"/>
      <c r="I9" s="104"/>
      <c r="J9" s="105" t="str">
        <f>'Input Information'!Q6</f>
        <v/>
      </c>
      <c r="K9" s="237"/>
      <c r="L9" s="106"/>
    </row>
    <row r="10" spans="1:12" ht="3.75" customHeight="1" thickBot="1">
      <c r="A10" s="218"/>
      <c r="B10" s="219"/>
      <c r="C10" s="244"/>
      <c r="D10" s="206"/>
      <c r="E10" s="206"/>
      <c r="F10" s="206"/>
      <c r="G10" s="238"/>
      <c r="H10" s="206"/>
      <c r="I10" s="206"/>
      <c r="J10" s="206"/>
      <c r="K10" s="238"/>
      <c r="L10" s="206"/>
    </row>
    <row r="11" spans="1:12" ht="15.75" thickBot="1">
      <c r="A11" s="246">
        <f>'Input Information'!A8</f>
        <v>0</v>
      </c>
      <c r="B11" s="94">
        <f>'Input Information'!D8</f>
        <v>0</v>
      </c>
      <c r="C11" s="241"/>
      <c r="D11" s="98" t="str">
        <f>'Input Information'!P8</f>
        <v>Enter Yield</v>
      </c>
      <c r="E11" s="98"/>
      <c r="F11" s="98"/>
      <c r="G11" s="240"/>
      <c r="H11" s="98" t="str">
        <f>'Input Information'!Q8</f>
        <v/>
      </c>
      <c r="I11" s="99"/>
      <c r="J11" s="99"/>
      <c r="K11" s="235"/>
      <c r="L11" s="100" t="str">
        <f>'Input Information'!R8</f>
        <v>Need Buff pH</v>
      </c>
    </row>
    <row r="12" spans="1:12" ht="15">
      <c r="A12" s="247">
        <f>'Input Information'!A8</f>
        <v>0</v>
      </c>
      <c r="B12" s="88">
        <f>'Input Information'!D9</f>
        <v>0</v>
      </c>
      <c r="C12" s="242"/>
      <c r="D12" s="101"/>
      <c r="E12" s="102" t="str">
        <f>'Input Information'!P9</f>
        <v/>
      </c>
      <c r="F12" s="101"/>
      <c r="G12" s="236"/>
      <c r="H12" s="101"/>
      <c r="I12" s="102" t="str">
        <f>'Input Information'!Q9</f>
        <v/>
      </c>
      <c r="J12" s="101"/>
      <c r="K12" s="236"/>
      <c r="L12" s="103"/>
    </row>
    <row r="13" spans="1:12" ht="15.75" thickBot="1">
      <c r="A13" s="248">
        <f>'Input Information'!A8</f>
        <v>0</v>
      </c>
      <c r="B13" s="95">
        <f>'Input Information'!D10</f>
        <v>0</v>
      </c>
      <c r="C13" s="243"/>
      <c r="D13" s="104"/>
      <c r="E13" s="104"/>
      <c r="F13" s="105" t="str">
        <f>'Input Information'!P10</f>
        <v/>
      </c>
      <c r="G13" s="237"/>
      <c r="H13" s="104"/>
      <c r="I13" s="104"/>
      <c r="J13" s="105" t="str">
        <f>'Input Information'!Q10</f>
        <v/>
      </c>
      <c r="K13" s="237"/>
      <c r="L13" s="106"/>
    </row>
    <row r="14" spans="1:12" ht="3.75" customHeight="1" thickBot="1">
      <c r="A14" s="218"/>
      <c r="B14" s="219"/>
      <c r="C14" s="244"/>
      <c r="D14" s="206"/>
      <c r="E14" s="206"/>
      <c r="F14" s="206"/>
      <c r="G14" s="238"/>
      <c r="H14" s="206"/>
      <c r="I14" s="206"/>
      <c r="J14" s="206"/>
      <c r="K14" s="238"/>
      <c r="L14" s="206"/>
    </row>
    <row r="15" spans="1:12" ht="15.75" thickBot="1">
      <c r="A15" s="246">
        <f>'Input Information'!A12</f>
        <v>0</v>
      </c>
      <c r="B15" s="94">
        <f>'Input Information'!D12</f>
        <v>0</v>
      </c>
      <c r="C15" s="241"/>
      <c r="D15" s="98" t="str">
        <f>'Input Information'!P12</f>
        <v>Enter Yield</v>
      </c>
      <c r="E15" s="98"/>
      <c r="F15" s="98"/>
      <c r="G15" s="240"/>
      <c r="H15" s="98" t="str">
        <f>'Input Information'!Q12</f>
        <v/>
      </c>
      <c r="I15" s="99"/>
      <c r="J15" s="99"/>
      <c r="K15" s="235"/>
      <c r="L15" s="100" t="str">
        <f>'Input Information'!R12</f>
        <v>Need Buff pH</v>
      </c>
    </row>
    <row r="16" spans="1:12" ht="15">
      <c r="A16" s="247">
        <f>'Input Information'!A12</f>
        <v>0</v>
      </c>
      <c r="B16" s="88">
        <f>'Input Information'!D13</f>
        <v>0</v>
      </c>
      <c r="C16" s="242"/>
      <c r="D16" s="101"/>
      <c r="E16" s="102" t="str">
        <f>'Input Information'!P13</f>
        <v/>
      </c>
      <c r="F16" s="101"/>
      <c r="G16" s="236"/>
      <c r="H16" s="101"/>
      <c r="I16" s="102" t="str">
        <f>'Input Information'!Q13</f>
        <v/>
      </c>
      <c r="J16" s="101"/>
      <c r="K16" s="236"/>
      <c r="L16" s="103"/>
    </row>
    <row r="17" spans="1:12" ht="15.75" thickBot="1">
      <c r="A17" s="248">
        <f>'Input Information'!A12</f>
        <v>0</v>
      </c>
      <c r="B17" s="95">
        <f>'Input Information'!D14</f>
        <v>0</v>
      </c>
      <c r="C17" s="243"/>
      <c r="D17" s="104"/>
      <c r="E17" s="104"/>
      <c r="F17" s="105" t="str">
        <f>'Input Information'!P14</f>
        <v/>
      </c>
      <c r="G17" s="237"/>
      <c r="H17" s="104"/>
      <c r="I17" s="104"/>
      <c r="J17" s="105" t="str">
        <f>'Input Information'!Q14</f>
        <v/>
      </c>
      <c r="K17" s="237"/>
      <c r="L17" s="106"/>
    </row>
    <row r="18" spans="1:12" ht="3.75" customHeight="1" thickBot="1">
      <c r="A18" s="218"/>
      <c r="B18" s="219"/>
      <c r="C18" s="244"/>
      <c r="D18" s="206"/>
      <c r="E18" s="206"/>
      <c r="F18" s="206"/>
      <c r="G18" s="238"/>
      <c r="H18" s="206"/>
      <c r="I18" s="206"/>
      <c r="J18" s="206"/>
      <c r="K18" s="238"/>
      <c r="L18" s="206"/>
    </row>
    <row r="19" spans="1:12" ht="15.75" thickBot="1">
      <c r="A19" s="246">
        <f>'Input Information'!A16</f>
        <v>0</v>
      </c>
      <c r="B19" s="94">
        <f>'Input Information'!D16</f>
        <v>0</v>
      </c>
      <c r="C19" s="241"/>
      <c r="D19" s="98" t="str">
        <f>'Input Information'!P16</f>
        <v>Enter Yield</v>
      </c>
      <c r="E19" s="98"/>
      <c r="F19" s="98"/>
      <c r="G19" s="240"/>
      <c r="H19" s="98" t="str">
        <f>'Input Information'!Q16</f>
        <v/>
      </c>
      <c r="I19" s="99"/>
      <c r="J19" s="99"/>
      <c r="K19" s="235"/>
      <c r="L19" s="100" t="str">
        <f>'Input Information'!R16</f>
        <v>Need Buff pH</v>
      </c>
    </row>
    <row r="20" spans="1:12" ht="15">
      <c r="A20" s="247">
        <f>'Input Information'!A16</f>
        <v>0</v>
      </c>
      <c r="B20" s="88">
        <f>'Input Information'!D17</f>
        <v>0</v>
      </c>
      <c r="C20" s="242"/>
      <c r="D20" s="101"/>
      <c r="E20" s="102" t="str">
        <f>'Input Information'!P17</f>
        <v/>
      </c>
      <c r="F20" s="101"/>
      <c r="G20" s="236"/>
      <c r="H20" s="101"/>
      <c r="I20" s="102" t="str">
        <f>'Input Information'!Q17</f>
        <v/>
      </c>
      <c r="J20" s="101"/>
      <c r="K20" s="236"/>
      <c r="L20" s="103"/>
    </row>
    <row r="21" spans="1:12" ht="15.75" thickBot="1">
      <c r="A21" s="248">
        <f>'Input Information'!A16</f>
        <v>0</v>
      </c>
      <c r="B21" s="95">
        <f>'Input Information'!D18</f>
        <v>0</v>
      </c>
      <c r="C21" s="243"/>
      <c r="D21" s="104"/>
      <c r="E21" s="104"/>
      <c r="F21" s="105" t="str">
        <f>'Input Information'!P18</f>
        <v/>
      </c>
      <c r="G21" s="237"/>
      <c r="H21" s="104"/>
      <c r="I21" s="104"/>
      <c r="J21" s="105" t="str">
        <f>'Input Information'!Q18</f>
        <v/>
      </c>
      <c r="K21" s="237"/>
      <c r="L21" s="106"/>
    </row>
    <row r="22" spans="1:12" ht="3.75" customHeight="1" thickBot="1">
      <c r="A22" s="218"/>
      <c r="B22" s="219"/>
      <c r="C22" s="244"/>
      <c r="D22" s="206"/>
      <c r="E22" s="206"/>
      <c r="F22" s="206"/>
      <c r="G22" s="238"/>
      <c r="H22" s="206"/>
      <c r="I22" s="206"/>
      <c r="J22" s="206"/>
      <c r="K22" s="238"/>
      <c r="L22" s="206"/>
    </row>
    <row r="23" spans="1:12" ht="15.75" thickBot="1">
      <c r="A23" s="246">
        <f>'Input Information'!A20</f>
        <v>0</v>
      </c>
      <c r="B23" s="94">
        <f>'Input Information'!D20</f>
        <v>0</v>
      </c>
      <c r="C23" s="241"/>
      <c r="D23" s="98" t="str">
        <f>'Input Information'!P20</f>
        <v>Enter Yield</v>
      </c>
      <c r="E23" s="98"/>
      <c r="F23" s="98"/>
      <c r="G23" s="240"/>
      <c r="H23" s="98" t="str">
        <f>'Input Information'!Q20</f>
        <v/>
      </c>
      <c r="I23" s="99"/>
      <c r="J23" s="99"/>
      <c r="K23" s="235"/>
      <c r="L23" s="100" t="str">
        <f>'Input Information'!R20</f>
        <v>Need Buff pH</v>
      </c>
    </row>
    <row r="24" spans="1:12" ht="15">
      <c r="A24" s="247">
        <f>'Input Information'!A20</f>
        <v>0</v>
      </c>
      <c r="B24" s="88">
        <f>'Input Information'!D21</f>
        <v>0</v>
      </c>
      <c r="C24" s="242"/>
      <c r="D24" s="101"/>
      <c r="E24" s="102" t="str">
        <f>'Input Information'!P21</f>
        <v/>
      </c>
      <c r="F24" s="101"/>
      <c r="G24" s="236"/>
      <c r="H24" s="101"/>
      <c r="I24" s="102" t="str">
        <f>'Input Information'!Q21</f>
        <v/>
      </c>
      <c r="J24" s="101"/>
      <c r="K24" s="236"/>
      <c r="L24" s="103"/>
    </row>
    <row r="25" spans="1:12" ht="15.75" thickBot="1">
      <c r="A25" s="248">
        <f>'Input Information'!A20</f>
        <v>0</v>
      </c>
      <c r="B25" s="95">
        <f>'Input Information'!D22</f>
        <v>0</v>
      </c>
      <c r="C25" s="243"/>
      <c r="D25" s="104"/>
      <c r="E25" s="104"/>
      <c r="F25" s="105" t="str">
        <f>'Input Information'!P22</f>
        <v/>
      </c>
      <c r="G25" s="237"/>
      <c r="H25" s="104"/>
      <c r="I25" s="104"/>
      <c r="J25" s="105" t="str">
        <f>'Input Information'!Q22</f>
        <v/>
      </c>
      <c r="K25" s="237"/>
      <c r="L25" s="106"/>
    </row>
    <row r="26" spans="1:12" ht="3.75" customHeight="1" thickBot="1">
      <c r="A26" s="218"/>
      <c r="B26" s="219"/>
      <c r="C26" s="244"/>
      <c r="D26" s="206"/>
      <c r="E26" s="206"/>
      <c r="F26" s="206"/>
      <c r="G26" s="238"/>
      <c r="H26" s="206"/>
      <c r="I26" s="206"/>
      <c r="J26" s="206"/>
      <c r="K26" s="238"/>
      <c r="L26" s="206"/>
    </row>
    <row r="27" spans="1:12" ht="15.75" thickBot="1">
      <c r="A27" s="246">
        <f>'Input Information'!A24</f>
        <v>0</v>
      </c>
      <c r="B27" s="94">
        <f>'Input Information'!D24</f>
        <v>0</v>
      </c>
      <c r="C27" s="241"/>
      <c r="D27" s="98" t="str">
        <f>'Input Information'!P24</f>
        <v>Enter Yield</v>
      </c>
      <c r="E27" s="98"/>
      <c r="F27" s="98"/>
      <c r="G27" s="240"/>
      <c r="H27" s="98" t="str">
        <f>'Input Information'!Q24</f>
        <v/>
      </c>
      <c r="I27" s="99"/>
      <c r="J27" s="99"/>
      <c r="K27" s="235"/>
      <c r="L27" s="100" t="str">
        <f>'Input Information'!R24</f>
        <v>Need Buff pH</v>
      </c>
    </row>
    <row r="28" spans="1:12" ht="15">
      <c r="A28" s="247">
        <f>'Input Information'!A24</f>
        <v>0</v>
      </c>
      <c r="B28" s="88">
        <f>'Input Information'!D25</f>
        <v>0</v>
      </c>
      <c r="C28" s="242"/>
      <c r="D28" s="101"/>
      <c r="E28" s="102" t="str">
        <f>'Input Information'!P25</f>
        <v/>
      </c>
      <c r="F28" s="101"/>
      <c r="G28" s="236"/>
      <c r="H28" s="101"/>
      <c r="I28" s="102" t="str">
        <f>'Input Information'!Q25</f>
        <v/>
      </c>
      <c r="J28" s="101"/>
      <c r="K28" s="236"/>
      <c r="L28" s="103"/>
    </row>
    <row r="29" spans="1:12" ht="15.75" thickBot="1">
      <c r="A29" s="248">
        <f>'Input Information'!A24</f>
        <v>0</v>
      </c>
      <c r="B29" s="95">
        <f>'Input Information'!D26</f>
        <v>0</v>
      </c>
      <c r="C29" s="243"/>
      <c r="D29" s="104"/>
      <c r="E29" s="104"/>
      <c r="F29" s="105" t="str">
        <f>'Input Information'!P26</f>
        <v/>
      </c>
      <c r="G29" s="237"/>
      <c r="H29" s="104"/>
      <c r="I29" s="104"/>
      <c r="J29" s="105" t="str">
        <f>'Input Information'!Q26</f>
        <v/>
      </c>
      <c r="K29" s="237"/>
      <c r="L29" s="106"/>
    </row>
    <row r="30" spans="1:12" ht="3.75" customHeight="1" thickBot="1">
      <c r="A30" s="218"/>
      <c r="B30" s="219"/>
      <c r="C30" s="244"/>
      <c r="D30" s="206"/>
      <c r="E30" s="206"/>
      <c r="F30" s="206"/>
      <c r="G30" s="238"/>
      <c r="H30" s="206"/>
      <c r="I30" s="206"/>
      <c r="J30" s="206"/>
      <c r="K30" s="238"/>
      <c r="L30" s="206"/>
    </row>
    <row r="31" spans="1:12" ht="15.75" thickBot="1">
      <c r="A31" s="246">
        <f>'Input Information'!A28</f>
        <v>0</v>
      </c>
      <c r="B31" s="94">
        <f>'Input Information'!D28</f>
        <v>0</v>
      </c>
      <c r="C31" s="241"/>
      <c r="D31" s="98" t="str">
        <f>'Input Information'!P28</f>
        <v>Enter Yield</v>
      </c>
      <c r="E31" s="98"/>
      <c r="F31" s="98"/>
      <c r="G31" s="240"/>
      <c r="H31" s="98" t="str">
        <f>'Input Information'!Q28</f>
        <v/>
      </c>
      <c r="I31" s="99"/>
      <c r="J31" s="99"/>
      <c r="K31" s="235"/>
      <c r="L31" s="100" t="str">
        <f>'Input Information'!R28</f>
        <v>Need Buff pH</v>
      </c>
    </row>
    <row r="32" spans="1:12" ht="15">
      <c r="A32" s="247">
        <f>'Input Information'!A28</f>
        <v>0</v>
      </c>
      <c r="B32" s="88">
        <f>'Input Information'!D29</f>
        <v>0</v>
      </c>
      <c r="C32" s="242"/>
      <c r="D32" s="101"/>
      <c r="E32" s="102" t="str">
        <f>'Input Information'!P29</f>
        <v/>
      </c>
      <c r="F32" s="101"/>
      <c r="G32" s="236"/>
      <c r="H32" s="101"/>
      <c r="I32" s="102" t="str">
        <f>'Input Information'!Q29</f>
        <v/>
      </c>
      <c r="J32" s="101"/>
      <c r="K32" s="236"/>
      <c r="L32" s="103"/>
    </row>
    <row r="33" spans="1:12" ht="15.75" thickBot="1">
      <c r="A33" s="248">
        <f>'Input Information'!A28</f>
        <v>0</v>
      </c>
      <c r="B33" s="95">
        <f>'Input Information'!D30</f>
        <v>0</v>
      </c>
      <c r="C33" s="243"/>
      <c r="D33" s="104"/>
      <c r="E33" s="104"/>
      <c r="F33" s="105" t="str">
        <f>'Input Information'!P30</f>
        <v/>
      </c>
      <c r="G33" s="237"/>
      <c r="H33" s="104"/>
      <c r="I33" s="104"/>
      <c r="J33" s="105" t="str">
        <f>'Input Information'!Q30</f>
        <v/>
      </c>
      <c r="K33" s="237"/>
      <c r="L33" s="106"/>
    </row>
    <row r="34" spans="1:12" ht="15">
      <c r="A34" s="92"/>
      <c r="B34" s="93"/>
      <c r="C34" s="96"/>
      <c r="D34" s="96"/>
      <c r="E34" s="96"/>
      <c r="F34" s="97"/>
      <c r="G34" s="97"/>
      <c r="H34" s="96"/>
      <c r="I34" s="96"/>
      <c r="J34" s="97"/>
      <c r="K34" s="97"/>
      <c r="L34" s="93"/>
    </row>
    <row r="35" spans="1:12" ht="15">
      <c r="A35" s="180"/>
      <c r="B35" s="181"/>
      <c r="C35" s="181"/>
      <c r="D35" s="181"/>
      <c r="E35" s="181"/>
      <c r="F35" s="180"/>
      <c r="G35" s="180"/>
      <c r="H35" s="181"/>
      <c r="I35" s="181"/>
      <c r="J35" s="180"/>
      <c r="K35" s="180"/>
      <c r="L35" s="182"/>
    </row>
    <row r="36" spans="1:12" ht="15">
      <c r="A36" s="183"/>
      <c r="B36" s="96"/>
      <c r="C36" s="96"/>
      <c r="D36" s="96"/>
      <c r="E36" s="97"/>
      <c r="F36" s="97"/>
      <c r="G36" s="96"/>
      <c r="H36" s="96"/>
      <c r="I36" s="97"/>
      <c r="J36" s="97"/>
      <c r="K36" s="96"/>
      <c r="L36" s="183"/>
    </row>
    <row r="37" spans="1:12" ht="15">
      <c r="A37" s="183"/>
      <c r="B37" s="96"/>
      <c r="C37" s="96"/>
      <c r="D37" s="97"/>
      <c r="E37" s="97"/>
      <c r="F37" s="97"/>
      <c r="G37" s="97"/>
      <c r="H37" s="97"/>
      <c r="I37" s="97"/>
      <c r="J37" s="97"/>
      <c r="K37" s="97"/>
      <c r="L37" s="184"/>
    </row>
  </sheetData>
  <sheetProtection password="FFAA" sheet="1" objects="1" scenarios="1" selectLockedCells="1"/>
  <pageMargins left="0.7" right="0.7" top="0.64500000000000002" bottom="0.75" header="0.3" footer="0.3"/>
  <pageSetup scale="68" orientation="portrait" r:id="rId1"/>
  <headerFooter>
    <oddHeader>&amp;L&amp;18&amp;A Report (Version 2014-1)&amp;R&amp;14Creation Date:&amp;D</oddHeader>
  </headerFooter>
  <drawing r:id="rId2"/>
  <legacyDrawing r:id="rId3"/>
</worksheet>
</file>

<file path=xl/worksheets/sheet4.xml><?xml version="1.0" encoding="utf-8"?>
<worksheet xmlns="http://schemas.openxmlformats.org/spreadsheetml/2006/main" xmlns:r="http://schemas.openxmlformats.org/officeDocument/2006/relationships">
  <sheetPr codeName="Sheet7">
    <pageSetUpPr fitToPage="1"/>
  </sheetPr>
  <dimension ref="A1:J28"/>
  <sheetViews>
    <sheetView view="pageLayout" zoomScaleNormal="100" workbookViewId="0">
      <selection activeCell="E18" sqref="E18"/>
    </sheetView>
  </sheetViews>
  <sheetFormatPr defaultRowHeight="12.75"/>
  <cols>
    <col min="1" max="1" width="24.7109375" customWidth="1"/>
    <col min="2" max="2" width="10.85546875" customWidth="1"/>
    <col min="3" max="3" width="1.85546875" customWidth="1"/>
    <col min="4" max="4" width="16.7109375" customWidth="1"/>
    <col min="5" max="5" width="14" customWidth="1"/>
    <col min="6" max="6" width="14.5703125" customWidth="1"/>
    <col min="7" max="7" width="15.42578125" customWidth="1"/>
    <col min="8" max="9" width="16.7109375" customWidth="1"/>
    <col min="10" max="10" width="17.5703125" customWidth="1"/>
    <col min="11" max="11" width="0.28515625" customWidth="1"/>
    <col min="12" max="12" width="0.42578125" customWidth="1"/>
  </cols>
  <sheetData>
    <row r="1" spans="1:10" ht="23.25" customHeight="1"/>
    <row r="2" spans="1:10" ht="28.5" customHeight="1"/>
    <row r="3" spans="1:10" ht="17.25" customHeight="1">
      <c r="A3" s="245" t="s">
        <v>116</v>
      </c>
      <c r="B3" s="89">
        <f>Introduction!C5</f>
        <v>0</v>
      </c>
    </row>
    <row r="4" spans="1:10" ht="17.25" customHeight="1">
      <c r="A4" s="245" t="s">
        <v>111</v>
      </c>
      <c r="B4" s="89">
        <f>Introduction!C6</f>
        <v>0</v>
      </c>
    </row>
    <row r="5" spans="1:10" ht="20.25" customHeight="1">
      <c r="A5" s="249" t="s">
        <v>77</v>
      </c>
      <c r="B5" s="249" t="s">
        <v>78</v>
      </c>
      <c r="C5" s="119"/>
      <c r="D5" s="58">
        <v>1500</v>
      </c>
      <c r="E5" s="93"/>
    </row>
    <row r="6" spans="1:10" ht="20.25" customHeight="1">
      <c r="A6" s="249" t="s">
        <v>79</v>
      </c>
      <c r="B6" s="249" t="s">
        <v>74</v>
      </c>
      <c r="C6" s="119"/>
      <c r="D6" s="58">
        <v>20</v>
      </c>
      <c r="E6" s="93"/>
    </row>
    <row r="7" spans="1:10" ht="20.25" customHeight="1">
      <c r="A7" s="250" t="s">
        <v>80</v>
      </c>
      <c r="B7" s="250" t="s">
        <v>81</v>
      </c>
      <c r="C7" s="136"/>
      <c r="D7" s="67">
        <v>10</v>
      </c>
      <c r="E7" s="93"/>
    </row>
    <row r="8" spans="1:10" ht="9.75" customHeight="1">
      <c r="A8" s="138"/>
      <c r="B8" s="138"/>
      <c r="C8" s="137"/>
      <c r="D8" s="112"/>
      <c r="E8" s="112"/>
      <c r="F8" s="139"/>
      <c r="G8" s="139"/>
      <c r="H8" s="139"/>
      <c r="I8" s="139"/>
      <c r="J8" s="139"/>
    </row>
    <row r="9" spans="1:10" ht="20.25" customHeight="1">
      <c r="A9" s="144"/>
      <c r="B9" s="144"/>
      <c r="C9" s="145"/>
      <c r="D9" s="141" t="s">
        <v>86</v>
      </c>
      <c r="E9" s="141" t="s">
        <v>88</v>
      </c>
      <c r="F9" s="143"/>
      <c r="G9" s="143"/>
      <c r="H9" s="143"/>
      <c r="I9" s="143"/>
      <c r="J9" s="143"/>
    </row>
    <row r="10" spans="1:10" s="150" customFormat="1" ht="35.25" customHeight="1">
      <c r="A10" s="168"/>
      <c r="B10" s="168"/>
      <c r="C10" s="168"/>
      <c r="D10" s="169" t="s">
        <v>73</v>
      </c>
      <c r="E10" s="169" t="s">
        <v>73</v>
      </c>
      <c r="F10" s="170" t="s">
        <v>75</v>
      </c>
      <c r="G10" s="170" t="s">
        <v>75</v>
      </c>
      <c r="H10" s="170" t="s">
        <v>76</v>
      </c>
      <c r="I10" s="170" t="s">
        <v>80</v>
      </c>
      <c r="J10" s="170" t="s">
        <v>84</v>
      </c>
    </row>
    <row r="11" spans="1:10" ht="15">
      <c r="A11" s="114" t="s">
        <v>14</v>
      </c>
      <c r="B11" s="114" t="s">
        <v>72</v>
      </c>
      <c r="C11" s="114"/>
      <c r="D11" s="142" t="s">
        <v>69</v>
      </c>
      <c r="E11" s="142" t="s">
        <v>87</v>
      </c>
      <c r="F11" s="142" t="s">
        <v>85</v>
      </c>
      <c r="G11" s="142" t="s">
        <v>82</v>
      </c>
      <c r="H11" s="142" t="s">
        <v>89</v>
      </c>
      <c r="I11" s="142" t="s">
        <v>83</v>
      </c>
      <c r="J11" s="142" t="s">
        <v>83</v>
      </c>
    </row>
    <row r="12" spans="1:10" ht="15">
      <c r="A12" s="124">
        <f>'Input Information'!A4</f>
        <v>0</v>
      </c>
      <c r="B12" s="125">
        <f>'Input Information'!B4</f>
        <v>0</v>
      </c>
      <c r="C12" s="113"/>
      <c r="D12" s="126">
        <f>IF(A12=0,0,'Input Information'!R4)</f>
        <v>0</v>
      </c>
      <c r="E12" s="62"/>
      <c r="F12" s="126">
        <f>IF(E12="",D12/($D$5/2000),E12/($D$5/2000))</f>
        <v>0</v>
      </c>
      <c r="G12" s="127">
        <f>F12*B12</f>
        <v>0</v>
      </c>
      <c r="H12" s="128">
        <f>G12*$D$6</f>
        <v>0</v>
      </c>
      <c r="I12" s="128">
        <f>IF(H12=0,0,B12*$D$7)</f>
        <v>0</v>
      </c>
      <c r="J12" s="134">
        <f>SUM(H12:I12)</f>
        <v>0</v>
      </c>
    </row>
    <row r="13" spans="1:10" ht="3.75" customHeight="1">
      <c r="A13" s="213"/>
      <c r="B13" s="214"/>
      <c r="C13" s="214"/>
      <c r="D13" s="215"/>
      <c r="E13" s="215"/>
      <c r="F13" s="215"/>
      <c r="G13" s="216"/>
      <c r="H13" s="216"/>
      <c r="I13" s="216"/>
      <c r="J13" s="216"/>
    </row>
    <row r="14" spans="1:10" ht="15">
      <c r="A14" s="124">
        <f>'Input Information'!A8</f>
        <v>0</v>
      </c>
      <c r="B14" s="125">
        <f>'Input Information'!B8</f>
        <v>0</v>
      </c>
      <c r="C14" s="113"/>
      <c r="D14" s="126">
        <f>IF(A14=0,0,'Input Information'!R8)</f>
        <v>0</v>
      </c>
      <c r="E14" s="62"/>
      <c r="F14" s="126">
        <f>IF(E14="",D14/($D$5/2000),E14/($D$5/2000))</f>
        <v>0</v>
      </c>
      <c r="G14" s="127">
        <f>F14*B14</f>
        <v>0</v>
      </c>
      <c r="H14" s="128">
        <f>G14*$D$6</f>
        <v>0</v>
      </c>
      <c r="I14" s="128">
        <f>IF(H14=0,0,B14*$D$7)</f>
        <v>0</v>
      </c>
      <c r="J14" s="134">
        <f>SUM(H14:I14)</f>
        <v>0</v>
      </c>
    </row>
    <row r="15" spans="1:10" ht="3.75" customHeight="1">
      <c r="A15" s="213"/>
      <c r="B15" s="214"/>
      <c r="C15" s="214"/>
      <c r="D15" s="215"/>
      <c r="E15" s="215"/>
      <c r="F15" s="215"/>
      <c r="G15" s="214"/>
      <c r="H15" s="214"/>
      <c r="I15" s="217">
        <f>B15*$D$7</f>
        <v>0</v>
      </c>
      <c r="J15" s="214"/>
    </row>
    <row r="16" spans="1:10" ht="15">
      <c r="A16" s="124">
        <f>'Input Information'!A12</f>
        <v>0</v>
      </c>
      <c r="B16" s="125">
        <f>'Input Information'!B12</f>
        <v>0</v>
      </c>
      <c r="C16" s="113"/>
      <c r="D16" s="126">
        <f>IF(A16=0,0,'Input Information'!R12)</f>
        <v>0</v>
      </c>
      <c r="E16" s="62"/>
      <c r="F16" s="126">
        <f>IF(E16="",D16/($D$5/2000),E16/($D$5/2000))</f>
        <v>0</v>
      </c>
      <c r="G16" s="127">
        <f>F16*B16</f>
        <v>0</v>
      </c>
      <c r="H16" s="128">
        <f>G16*$D$6</f>
        <v>0</v>
      </c>
      <c r="I16" s="128">
        <f>IF(H16=0,0,B16*$D$7)</f>
        <v>0</v>
      </c>
      <c r="J16" s="134">
        <f>SUM(H16:I16)</f>
        <v>0</v>
      </c>
    </row>
    <row r="17" spans="1:10" ht="3.75" customHeight="1">
      <c r="A17" s="213"/>
      <c r="B17" s="214"/>
      <c r="C17" s="214"/>
      <c r="D17" s="215"/>
      <c r="E17" s="215"/>
      <c r="F17" s="215"/>
      <c r="G17" s="214"/>
      <c r="H17" s="214"/>
      <c r="I17" s="217">
        <f>B17*$D$7</f>
        <v>0</v>
      </c>
      <c r="J17" s="214"/>
    </row>
    <row r="18" spans="1:10" ht="15">
      <c r="A18" s="124">
        <f>'Input Information'!A16</f>
        <v>0</v>
      </c>
      <c r="B18" s="125">
        <f>'Input Information'!B16</f>
        <v>0</v>
      </c>
      <c r="C18" s="113"/>
      <c r="D18" s="126">
        <f>IF(A18=0,0,'Input Information'!R16)</f>
        <v>0</v>
      </c>
      <c r="E18" s="62"/>
      <c r="F18" s="126">
        <f>IF(E18="",D18/($D$5/2000),E18/($D$5/2000))</f>
        <v>0</v>
      </c>
      <c r="G18" s="127">
        <f>F18*B18</f>
        <v>0</v>
      </c>
      <c r="H18" s="128">
        <f>G18*$D$6</f>
        <v>0</v>
      </c>
      <c r="I18" s="128">
        <f>IF(H18=0,0,B18*$D$7)</f>
        <v>0</v>
      </c>
      <c r="J18" s="134">
        <f>SUM(H18:I18)</f>
        <v>0</v>
      </c>
    </row>
    <row r="19" spans="1:10" ht="3.75" customHeight="1">
      <c r="A19" s="213"/>
      <c r="B19" s="214"/>
      <c r="C19" s="214"/>
      <c r="D19" s="215"/>
      <c r="E19" s="215"/>
      <c r="F19" s="215"/>
      <c r="G19" s="214"/>
      <c r="H19" s="214"/>
      <c r="I19" s="217">
        <f>B19*$D$7</f>
        <v>0</v>
      </c>
      <c r="J19" s="214"/>
    </row>
    <row r="20" spans="1:10" ht="15">
      <c r="A20" s="124">
        <f>'Input Information'!A20</f>
        <v>0</v>
      </c>
      <c r="B20" s="125">
        <f>'Input Information'!B20</f>
        <v>0</v>
      </c>
      <c r="C20" s="113"/>
      <c r="D20" s="126">
        <f>IF(A20=0,0,'Input Information'!R20)</f>
        <v>0</v>
      </c>
      <c r="E20" s="62"/>
      <c r="F20" s="126">
        <f>IF(E20="",D20/($D$5/2000),E20/($D$5/2000))</f>
        <v>0</v>
      </c>
      <c r="G20" s="127">
        <f>F20*B20</f>
        <v>0</v>
      </c>
      <c r="H20" s="128">
        <f>G20*$D$6</f>
        <v>0</v>
      </c>
      <c r="I20" s="128">
        <f>IF(H20=0,0,B20*$D$7)</f>
        <v>0</v>
      </c>
      <c r="J20" s="134">
        <f>SUM(H20:I20)</f>
        <v>0</v>
      </c>
    </row>
    <row r="21" spans="1:10" ht="3.75" customHeight="1">
      <c r="A21" s="213"/>
      <c r="B21" s="214"/>
      <c r="C21" s="214"/>
      <c r="D21" s="215"/>
      <c r="E21" s="215"/>
      <c r="F21" s="215"/>
      <c r="G21" s="214"/>
      <c r="H21" s="214"/>
      <c r="I21" s="217">
        <f>B21*$D$7</f>
        <v>0</v>
      </c>
      <c r="J21" s="214"/>
    </row>
    <row r="22" spans="1:10" ht="15">
      <c r="A22" s="124">
        <f>'Input Information'!A24</f>
        <v>0</v>
      </c>
      <c r="B22" s="125">
        <f>'Input Information'!B24</f>
        <v>0</v>
      </c>
      <c r="C22" s="113"/>
      <c r="D22" s="126">
        <f>IF(A22=0,0,'Input Information'!R24)</f>
        <v>0</v>
      </c>
      <c r="E22" s="62"/>
      <c r="F22" s="126">
        <f>IF(E22="",D22/($D$5/2000),E22/($D$5/2000))</f>
        <v>0</v>
      </c>
      <c r="G22" s="127">
        <f>F22*B22</f>
        <v>0</v>
      </c>
      <c r="H22" s="128">
        <f>G22*$D$6</f>
        <v>0</v>
      </c>
      <c r="I22" s="128">
        <f>IF(H22=0,0,B22*$D$7)</f>
        <v>0</v>
      </c>
      <c r="J22" s="134">
        <f>SUM(H22:I22)</f>
        <v>0</v>
      </c>
    </row>
    <row r="23" spans="1:10" ht="3.75" customHeight="1">
      <c r="A23" s="213"/>
      <c r="B23" s="214"/>
      <c r="C23" s="214"/>
      <c r="D23" s="215"/>
      <c r="E23" s="215"/>
      <c r="F23" s="215"/>
      <c r="G23" s="214"/>
      <c r="H23" s="214"/>
      <c r="I23" s="217">
        <f>B23*$D$7</f>
        <v>0</v>
      </c>
      <c r="J23" s="214"/>
    </row>
    <row r="24" spans="1:10" ht="15.75" thickBot="1">
      <c r="A24" s="124">
        <f>'Input Information'!A28</f>
        <v>0</v>
      </c>
      <c r="B24" s="129">
        <f>'Input Information'!B28</f>
        <v>0</v>
      </c>
      <c r="C24" s="118"/>
      <c r="D24" s="126">
        <f>IF(A24=0,0,'Input Information'!R28)</f>
        <v>0</v>
      </c>
      <c r="E24" s="185"/>
      <c r="F24" s="130">
        <f>IF(E24="",D24/($D$5/2000),E24/($D$5/2000))</f>
        <v>0</v>
      </c>
      <c r="G24" s="131">
        <f>F24*B24</f>
        <v>0</v>
      </c>
      <c r="H24" s="132">
        <f>G24*$D$6</f>
        <v>0</v>
      </c>
      <c r="I24" s="132">
        <f>IF(H24=0,0,B24*$D$7)</f>
        <v>0</v>
      </c>
      <c r="J24" s="135">
        <f>SUM(H24:I24)</f>
        <v>0</v>
      </c>
    </row>
    <row r="25" spans="1:10" ht="15.75" thickBot="1">
      <c r="A25" s="85"/>
      <c r="B25" s="121" t="s">
        <v>66</v>
      </c>
      <c r="C25" s="140"/>
      <c r="D25" s="120">
        <f>SUM(D12:D24)</f>
        <v>0</v>
      </c>
      <c r="E25" s="120"/>
      <c r="F25" s="120">
        <f t="shared" ref="F25:J25" si="0">SUM(F12:F24)</f>
        <v>0</v>
      </c>
      <c r="G25" s="122">
        <f t="shared" si="0"/>
        <v>0</v>
      </c>
      <c r="H25" s="123">
        <f t="shared" si="0"/>
        <v>0</v>
      </c>
      <c r="I25" s="123">
        <f t="shared" si="0"/>
        <v>0</v>
      </c>
      <c r="J25" s="123">
        <f t="shared" si="0"/>
        <v>0</v>
      </c>
    </row>
    <row r="27" spans="1:10">
      <c r="D27" s="171" t="s">
        <v>103</v>
      </c>
      <c r="E27" s="3" t="s">
        <v>117</v>
      </c>
    </row>
    <row r="28" spans="1:10">
      <c r="E28" s="198" t="s">
        <v>102</v>
      </c>
    </row>
  </sheetData>
  <sheetProtection password="FFAA" sheet="1" objects="1" scenarios="1" selectLockedCells="1"/>
  <pageMargins left="0.7" right="0.7" top="0.65333333333333332" bottom="0.75" header="0.3" footer="0.3"/>
  <pageSetup scale="61" orientation="portrait" r:id="rId1"/>
  <headerFooter>
    <oddHeader xml:space="preserve">&amp;L&amp;18Lime Rate and Cost Report (Version 2014-1)                     Creation Date: &amp;D
</oddHeader>
  </headerFooter>
  <drawing r:id="rId2"/>
  <legacyDrawing r:id="rId3"/>
</worksheet>
</file>

<file path=xl/worksheets/sheet5.xml><?xml version="1.0" encoding="utf-8"?>
<worksheet xmlns="http://schemas.openxmlformats.org/spreadsheetml/2006/main" xmlns:r="http://schemas.openxmlformats.org/officeDocument/2006/relationships">
  <sheetPr codeName="Sheet8">
    <pageSetUpPr fitToPage="1"/>
  </sheetPr>
  <dimension ref="A1:AD75"/>
  <sheetViews>
    <sheetView view="pageLayout" topLeftCell="A61" zoomScaleNormal="100" workbookViewId="0">
      <selection activeCell="E7" sqref="E7"/>
    </sheetView>
  </sheetViews>
  <sheetFormatPr defaultRowHeight="12.75"/>
  <cols>
    <col min="1" max="1" width="27.140625" customWidth="1"/>
    <col min="2" max="2" width="21.42578125" customWidth="1"/>
    <col min="3" max="3" width="16.85546875" customWidth="1"/>
    <col min="4" max="4" width="17" customWidth="1"/>
    <col min="5" max="5" width="21.5703125" customWidth="1"/>
    <col min="6" max="6" width="19.85546875" customWidth="1"/>
    <col min="7" max="7" width="19" customWidth="1"/>
    <col min="8" max="8" width="18" customWidth="1"/>
    <col min="9" max="9" width="18.7109375" customWidth="1"/>
    <col min="10" max="16" width="3.42578125" hidden="1" customWidth="1"/>
    <col min="17" max="30" width="9.140625" hidden="1" customWidth="1"/>
  </cols>
  <sheetData>
    <row r="1" spans="1:9" ht="23.25" customHeight="1"/>
    <row r="2" spans="1:9" ht="30" customHeight="1"/>
    <row r="3" spans="1:9" ht="18.75" customHeight="1">
      <c r="A3" s="251" t="s">
        <v>110</v>
      </c>
      <c r="B3" s="252">
        <f>Introduction!C5</f>
        <v>0</v>
      </c>
    </row>
    <row r="4" spans="1:9" ht="19.5" customHeight="1">
      <c r="A4" s="251" t="s">
        <v>111</v>
      </c>
      <c r="B4" s="252">
        <f>Introduction!C6</f>
        <v>0</v>
      </c>
    </row>
    <row r="5" spans="1:9" ht="18.75" customHeight="1">
      <c r="A5" s="161" t="s">
        <v>100</v>
      </c>
      <c r="B5" s="163" t="s">
        <v>93</v>
      </c>
      <c r="C5" s="163" t="s">
        <v>23</v>
      </c>
      <c r="D5" s="163" t="s">
        <v>29</v>
      </c>
      <c r="E5" s="163" t="s">
        <v>94</v>
      </c>
    </row>
    <row r="6" spans="1:9" ht="18.75" customHeight="1">
      <c r="A6" s="149" t="s">
        <v>91</v>
      </c>
      <c r="B6" s="79">
        <v>11</v>
      </c>
      <c r="C6" s="79">
        <v>52</v>
      </c>
      <c r="D6" s="79">
        <v>0</v>
      </c>
      <c r="E6" s="179">
        <v>450</v>
      </c>
    </row>
    <row r="7" spans="1:9" ht="18.75" customHeight="1" thickBot="1">
      <c r="A7" s="162" t="s">
        <v>92</v>
      </c>
      <c r="B7" s="79">
        <v>0</v>
      </c>
      <c r="C7" s="79">
        <v>0</v>
      </c>
      <c r="D7" s="79">
        <v>60</v>
      </c>
      <c r="E7" s="179">
        <v>550</v>
      </c>
    </row>
    <row r="8" spans="1:9" s="164" customFormat="1" ht="7.5" customHeight="1" thickBot="1">
      <c r="A8" s="205"/>
      <c r="B8" s="206"/>
      <c r="C8" s="206"/>
      <c r="D8" s="207"/>
      <c r="E8" s="206"/>
      <c r="F8" s="208"/>
      <c r="G8" s="208"/>
      <c r="H8" s="208"/>
      <c r="I8" s="208"/>
    </row>
    <row r="9" spans="1:9" ht="18.75" customHeight="1">
      <c r="A9" s="209" t="s">
        <v>101</v>
      </c>
      <c r="B9" s="210">
        <f>'Input Information'!C4</f>
        <v>0</v>
      </c>
      <c r="C9" s="147"/>
      <c r="D9" s="160" t="s">
        <v>67</v>
      </c>
      <c r="E9" s="90"/>
      <c r="F9" s="90"/>
      <c r="G9" s="90"/>
      <c r="H9" s="90"/>
      <c r="I9" s="90"/>
    </row>
    <row r="10" spans="1:9" s="150" customFormat="1" ht="47.25" customHeight="1">
      <c r="A10" s="155" t="s">
        <v>14</v>
      </c>
      <c r="B10" s="155" t="s">
        <v>65</v>
      </c>
      <c r="C10" s="172" t="s">
        <v>72</v>
      </c>
      <c r="D10" s="170" t="s">
        <v>90</v>
      </c>
      <c r="E10" s="173" t="s">
        <v>95</v>
      </c>
      <c r="F10" s="156" t="s">
        <v>96</v>
      </c>
      <c r="G10" s="156" t="s">
        <v>97</v>
      </c>
      <c r="H10" s="156" t="s">
        <v>98</v>
      </c>
      <c r="I10" s="156" t="s">
        <v>99</v>
      </c>
    </row>
    <row r="11" spans="1:9" ht="15">
      <c r="A11" s="124">
        <f>'Input Information'!A4</f>
        <v>0</v>
      </c>
      <c r="B11" s="125">
        <f>'Input Information'!D4</f>
        <v>0</v>
      </c>
      <c r="C11" s="174">
        <f>'Input Information'!B4</f>
        <v>0</v>
      </c>
      <c r="D11" s="165">
        <f>IF(B11=0,0,'Input Information'!P4)</f>
        <v>0</v>
      </c>
      <c r="E11" s="166">
        <f>D11/($C$6*0.01)</f>
        <v>0</v>
      </c>
      <c r="F11" s="165">
        <f t="shared" ref="F11:F17" si="0">E11*C11</f>
        <v>0</v>
      </c>
      <c r="G11" s="126">
        <f>F11/2000</f>
        <v>0</v>
      </c>
      <c r="H11" s="167">
        <f t="shared" ref="H11:H17" si="1">$E$6/(2000*($C$6*0.01))*D11</f>
        <v>0</v>
      </c>
      <c r="I11" s="167">
        <f t="shared" ref="I11:I17" si="2">H11*C11</f>
        <v>0</v>
      </c>
    </row>
    <row r="12" spans="1:9" ht="15">
      <c r="A12" s="124">
        <f>'Input Information'!A8</f>
        <v>0</v>
      </c>
      <c r="B12" s="125">
        <f>'Input Information'!D8</f>
        <v>0</v>
      </c>
      <c r="C12" s="174">
        <f>'Input Information'!B8</f>
        <v>0</v>
      </c>
      <c r="D12" s="165">
        <f>IF(B12=0,0,'Input Information'!P8)</f>
        <v>0</v>
      </c>
      <c r="E12" s="166">
        <f t="shared" ref="E12:E17" si="3">D12/($C$6*0.01)</f>
        <v>0</v>
      </c>
      <c r="F12" s="165">
        <f t="shared" si="0"/>
        <v>0</v>
      </c>
      <c r="G12" s="126">
        <f t="shared" ref="G12:G17" si="4">F12/2000</f>
        <v>0</v>
      </c>
      <c r="H12" s="167">
        <f t="shared" si="1"/>
        <v>0</v>
      </c>
      <c r="I12" s="167">
        <f t="shared" si="2"/>
        <v>0</v>
      </c>
    </row>
    <row r="13" spans="1:9" ht="15">
      <c r="A13" s="124">
        <f>'Input Information'!A12</f>
        <v>0</v>
      </c>
      <c r="B13" s="125">
        <f>'Input Information'!D12</f>
        <v>0</v>
      </c>
      <c r="C13" s="174">
        <f>'Input Information'!B12</f>
        <v>0</v>
      </c>
      <c r="D13" s="165">
        <f>IF(B13=0,0,'Input Information'!P12)</f>
        <v>0</v>
      </c>
      <c r="E13" s="166">
        <f t="shared" si="3"/>
        <v>0</v>
      </c>
      <c r="F13" s="165">
        <f t="shared" si="0"/>
        <v>0</v>
      </c>
      <c r="G13" s="126">
        <f t="shared" si="4"/>
        <v>0</v>
      </c>
      <c r="H13" s="167">
        <f t="shared" si="1"/>
        <v>0</v>
      </c>
      <c r="I13" s="167">
        <f t="shared" si="2"/>
        <v>0</v>
      </c>
    </row>
    <row r="14" spans="1:9" ht="15">
      <c r="A14" s="124">
        <f>'Input Information'!A16</f>
        <v>0</v>
      </c>
      <c r="B14" s="125">
        <f>'Input Information'!D16</f>
        <v>0</v>
      </c>
      <c r="C14" s="174">
        <f>'Input Information'!B16</f>
        <v>0</v>
      </c>
      <c r="D14" s="165">
        <f>IF(B14=0,0,'Input Information'!P16)</f>
        <v>0</v>
      </c>
      <c r="E14" s="166">
        <f t="shared" si="3"/>
        <v>0</v>
      </c>
      <c r="F14" s="165">
        <f t="shared" si="0"/>
        <v>0</v>
      </c>
      <c r="G14" s="126">
        <f t="shared" si="4"/>
        <v>0</v>
      </c>
      <c r="H14" s="167">
        <f t="shared" si="1"/>
        <v>0</v>
      </c>
      <c r="I14" s="167">
        <f t="shared" si="2"/>
        <v>0</v>
      </c>
    </row>
    <row r="15" spans="1:9" ht="15">
      <c r="A15" s="124">
        <f>'Input Information'!A20</f>
        <v>0</v>
      </c>
      <c r="B15" s="125">
        <f>'Input Information'!D20</f>
        <v>0</v>
      </c>
      <c r="C15" s="174">
        <f>'Input Information'!B20</f>
        <v>0</v>
      </c>
      <c r="D15" s="165">
        <f>IF(B15=0,0,'Input Information'!P20)</f>
        <v>0</v>
      </c>
      <c r="E15" s="166">
        <f t="shared" si="3"/>
        <v>0</v>
      </c>
      <c r="F15" s="165">
        <f t="shared" si="0"/>
        <v>0</v>
      </c>
      <c r="G15" s="126">
        <f t="shared" si="4"/>
        <v>0</v>
      </c>
      <c r="H15" s="167">
        <f t="shared" si="1"/>
        <v>0</v>
      </c>
      <c r="I15" s="167">
        <f t="shared" si="2"/>
        <v>0</v>
      </c>
    </row>
    <row r="16" spans="1:9" ht="15">
      <c r="A16" s="124">
        <f>'Input Information'!A24</f>
        <v>0</v>
      </c>
      <c r="B16" s="125">
        <f>'Input Information'!D24</f>
        <v>0</v>
      </c>
      <c r="C16" s="174">
        <f>'Input Information'!B24</f>
        <v>0</v>
      </c>
      <c r="D16" s="165">
        <f>IF(B16=0,0,'Input Information'!P24)</f>
        <v>0</v>
      </c>
      <c r="E16" s="166">
        <f t="shared" si="3"/>
        <v>0</v>
      </c>
      <c r="F16" s="165">
        <f t="shared" si="0"/>
        <v>0</v>
      </c>
      <c r="G16" s="126">
        <f t="shared" si="4"/>
        <v>0</v>
      </c>
      <c r="H16" s="167">
        <f t="shared" si="1"/>
        <v>0</v>
      </c>
      <c r="I16" s="167">
        <f t="shared" si="2"/>
        <v>0</v>
      </c>
    </row>
    <row r="17" spans="1:30" ht="15">
      <c r="A17" s="124">
        <f>'Input Information'!A28</f>
        <v>0</v>
      </c>
      <c r="B17" s="125">
        <f>'Input Information'!D28</f>
        <v>0</v>
      </c>
      <c r="C17" s="174">
        <f>'Input Information'!B28</f>
        <v>0</v>
      </c>
      <c r="D17" s="165">
        <f>IF(B17=0,0,'Input Information'!P28)</f>
        <v>0</v>
      </c>
      <c r="E17" s="166">
        <f t="shared" si="3"/>
        <v>0</v>
      </c>
      <c r="F17" s="165">
        <f t="shared" si="0"/>
        <v>0</v>
      </c>
      <c r="G17" s="126">
        <f t="shared" si="4"/>
        <v>0</v>
      </c>
      <c r="H17" s="167">
        <f t="shared" si="1"/>
        <v>0</v>
      </c>
      <c r="I17" s="167">
        <f t="shared" si="2"/>
        <v>0</v>
      </c>
    </row>
    <row r="18" spans="1:30" ht="15">
      <c r="A18" s="85"/>
      <c r="B18" s="59" t="s">
        <v>66</v>
      </c>
      <c r="C18" s="175"/>
      <c r="D18" s="154"/>
      <c r="E18" s="176"/>
      <c r="F18" s="159">
        <f>SUM(F11:F17)</f>
        <v>0</v>
      </c>
      <c r="G18" s="64">
        <f t="shared" ref="G18:I18" si="5">SUM(G11:G17)</f>
        <v>0</v>
      </c>
      <c r="H18" s="178">
        <f t="shared" si="5"/>
        <v>0</v>
      </c>
      <c r="I18" s="117">
        <f t="shared" si="5"/>
        <v>0</v>
      </c>
    </row>
    <row r="19" spans="1:30" ht="7.5" customHeight="1" thickBot="1">
      <c r="A19" s="186"/>
      <c r="B19" s="187"/>
      <c r="C19" s="187"/>
      <c r="D19" s="188"/>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row>
    <row r="20" spans="1:30" ht="15">
      <c r="A20" s="161"/>
      <c r="B20" s="147"/>
      <c r="C20" s="147"/>
      <c r="D20" s="160" t="s">
        <v>68</v>
      </c>
      <c r="E20" s="90"/>
      <c r="F20" s="90"/>
      <c r="G20" s="90"/>
      <c r="H20" s="90"/>
      <c r="I20" s="90"/>
    </row>
    <row r="21" spans="1:30" ht="30">
      <c r="A21" s="155" t="s">
        <v>14</v>
      </c>
      <c r="B21" s="155" t="s">
        <v>65</v>
      </c>
      <c r="C21" s="172" t="s">
        <v>72</v>
      </c>
      <c r="D21" s="170" t="s">
        <v>90</v>
      </c>
      <c r="E21" s="173" t="s">
        <v>95</v>
      </c>
      <c r="F21" s="156" t="s">
        <v>96</v>
      </c>
      <c r="G21" s="156" t="s">
        <v>97</v>
      </c>
      <c r="H21" s="156" t="s">
        <v>98</v>
      </c>
      <c r="I21" s="156" t="s">
        <v>99</v>
      </c>
    </row>
    <row r="22" spans="1:30" ht="15">
      <c r="A22" s="115">
        <f>'Input Information'!A4</f>
        <v>0</v>
      </c>
      <c r="B22" s="116">
        <f>'Input Information'!D4</f>
        <v>0</v>
      </c>
      <c r="C22" s="174">
        <f>'Input Information'!B4</f>
        <v>0</v>
      </c>
      <c r="D22" s="151">
        <f>IF(B22=0,0,'Input Information'!Q4)</f>
        <v>0</v>
      </c>
      <c r="E22" s="157">
        <f>D22/($D$7*0.01)</f>
        <v>0</v>
      </c>
      <c r="F22" s="151">
        <f t="shared" ref="F22:F28" si="6">E22*C22</f>
        <v>0</v>
      </c>
      <c r="G22" s="152">
        <f t="shared" ref="G22:G28" si="7">F22/2000</f>
        <v>0</v>
      </c>
      <c r="H22" s="153">
        <f>$E$7/(2000*($D$7*0.01))*D22</f>
        <v>0</v>
      </c>
      <c r="I22" s="153">
        <f t="shared" ref="I22:I28" si="8">H22*C22</f>
        <v>0</v>
      </c>
    </row>
    <row r="23" spans="1:30" ht="15">
      <c r="A23" s="115">
        <f>'Input Information'!A8</f>
        <v>0</v>
      </c>
      <c r="B23" s="116">
        <f>'Input Information'!D8</f>
        <v>0</v>
      </c>
      <c r="C23" s="174">
        <f>'Input Information'!B8</f>
        <v>0</v>
      </c>
      <c r="D23" s="151">
        <f>IF(B23=0,0,'Input Information'!Q8)</f>
        <v>0</v>
      </c>
      <c r="E23" s="157">
        <f t="shared" ref="E23:E28" si="9">D23/($D$7*0.01)</f>
        <v>0</v>
      </c>
      <c r="F23" s="151">
        <f t="shared" si="6"/>
        <v>0</v>
      </c>
      <c r="G23" s="152">
        <f t="shared" si="7"/>
        <v>0</v>
      </c>
      <c r="H23" s="153">
        <f t="shared" ref="H23:H28" si="10">$E$7/(2000*($D$7*0.01))*D23</f>
        <v>0</v>
      </c>
      <c r="I23" s="153">
        <f t="shared" si="8"/>
        <v>0</v>
      </c>
    </row>
    <row r="24" spans="1:30" ht="15">
      <c r="A24" s="115">
        <f>'Input Information'!A12</f>
        <v>0</v>
      </c>
      <c r="B24" s="116">
        <f>'Input Information'!D12</f>
        <v>0</v>
      </c>
      <c r="C24" s="174">
        <f>'Input Information'!B12</f>
        <v>0</v>
      </c>
      <c r="D24" s="151">
        <f>IF(B24=0,0,'Input Information'!Q12)</f>
        <v>0</v>
      </c>
      <c r="E24" s="157">
        <f t="shared" si="9"/>
        <v>0</v>
      </c>
      <c r="F24" s="151">
        <f t="shared" si="6"/>
        <v>0</v>
      </c>
      <c r="G24" s="152">
        <f t="shared" si="7"/>
        <v>0</v>
      </c>
      <c r="H24" s="153">
        <f t="shared" si="10"/>
        <v>0</v>
      </c>
      <c r="I24" s="153">
        <f t="shared" si="8"/>
        <v>0</v>
      </c>
    </row>
    <row r="25" spans="1:30" ht="15">
      <c r="A25" s="115">
        <f>'Input Information'!A16</f>
        <v>0</v>
      </c>
      <c r="B25" s="116">
        <f>'Input Information'!D16</f>
        <v>0</v>
      </c>
      <c r="C25" s="174">
        <f>'Input Information'!B16</f>
        <v>0</v>
      </c>
      <c r="D25" s="151">
        <f>IF(B25=0,0,'Input Information'!Q16)</f>
        <v>0</v>
      </c>
      <c r="E25" s="157">
        <f t="shared" si="9"/>
        <v>0</v>
      </c>
      <c r="F25" s="151">
        <f t="shared" si="6"/>
        <v>0</v>
      </c>
      <c r="G25" s="152">
        <f t="shared" si="7"/>
        <v>0</v>
      </c>
      <c r="H25" s="153">
        <f t="shared" si="10"/>
        <v>0</v>
      </c>
      <c r="I25" s="153">
        <f t="shared" si="8"/>
        <v>0</v>
      </c>
    </row>
    <row r="26" spans="1:30" ht="15">
      <c r="A26" s="115">
        <f>'Input Information'!A20</f>
        <v>0</v>
      </c>
      <c r="B26" s="116">
        <f>'Input Information'!D20</f>
        <v>0</v>
      </c>
      <c r="C26" s="174">
        <f>'Input Information'!B20</f>
        <v>0</v>
      </c>
      <c r="D26" s="151">
        <f>IF(B26=0,0,'Input Information'!Q20)</f>
        <v>0</v>
      </c>
      <c r="E26" s="157">
        <f t="shared" si="9"/>
        <v>0</v>
      </c>
      <c r="F26" s="151">
        <f t="shared" si="6"/>
        <v>0</v>
      </c>
      <c r="G26" s="152">
        <f t="shared" si="7"/>
        <v>0</v>
      </c>
      <c r="H26" s="153">
        <f t="shared" si="10"/>
        <v>0</v>
      </c>
      <c r="I26" s="153">
        <f t="shared" si="8"/>
        <v>0</v>
      </c>
    </row>
    <row r="27" spans="1:30" ht="15">
      <c r="A27" s="115">
        <f>'Input Information'!A24</f>
        <v>0</v>
      </c>
      <c r="B27" s="116">
        <f>'Input Information'!D24</f>
        <v>0</v>
      </c>
      <c r="C27" s="174">
        <f>'Input Information'!B24</f>
        <v>0</v>
      </c>
      <c r="D27" s="151">
        <f>IF(B27=0,0,'Input Information'!Q24)</f>
        <v>0</v>
      </c>
      <c r="E27" s="157">
        <f t="shared" si="9"/>
        <v>0</v>
      </c>
      <c r="F27" s="151">
        <f t="shared" si="6"/>
        <v>0</v>
      </c>
      <c r="G27" s="152">
        <f t="shared" si="7"/>
        <v>0</v>
      </c>
      <c r="H27" s="153">
        <f t="shared" si="10"/>
        <v>0</v>
      </c>
      <c r="I27" s="153">
        <f t="shared" si="8"/>
        <v>0</v>
      </c>
    </row>
    <row r="28" spans="1:30" ht="15">
      <c r="A28" s="115">
        <f>'Input Information'!A28</f>
        <v>0</v>
      </c>
      <c r="B28" s="116">
        <f>'Input Information'!D28</f>
        <v>0</v>
      </c>
      <c r="C28" s="174">
        <f>'Input Information'!B28</f>
        <v>0</v>
      </c>
      <c r="D28" s="151">
        <f>IF(B28=0,0,'Input Information'!Q28)</f>
        <v>0</v>
      </c>
      <c r="E28" s="157">
        <f t="shared" si="9"/>
        <v>0</v>
      </c>
      <c r="F28" s="151">
        <f t="shared" si="6"/>
        <v>0</v>
      </c>
      <c r="G28" s="152">
        <f t="shared" si="7"/>
        <v>0</v>
      </c>
      <c r="H28" s="153">
        <f t="shared" si="10"/>
        <v>0</v>
      </c>
      <c r="I28" s="153">
        <f t="shared" si="8"/>
        <v>0</v>
      </c>
    </row>
    <row r="29" spans="1:30" ht="15">
      <c r="A29" s="85"/>
      <c r="B29" s="59" t="s">
        <v>66</v>
      </c>
      <c r="C29" s="175"/>
      <c r="D29" s="154"/>
      <c r="E29" s="176"/>
      <c r="F29" s="63">
        <f>SUM(F22:F28)</f>
        <v>0</v>
      </c>
      <c r="G29" s="158">
        <f t="shared" ref="G29:I29" si="11">SUM(G22:G28)</f>
        <v>0</v>
      </c>
      <c r="H29" s="178">
        <f t="shared" si="11"/>
        <v>0</v>
      </c>
      <c r="I29" s="117">
        <f t="shared" si="11"/>
        <v>0</v>
      </c>
    </row>
    <row r="30" spans="1:30" ht="13.5" thickBot="1">
      <c r="B30" s="177"/>
      <c r="C30" s="177"/>
      <c r="D30" s="177"/>
      <c r="E30" s="177"/>
      <c r="F30" s="177"/>
      <c r="G30" s="177"/>
      <c r="H30" s="177"/>
      <c r="I30" s="177"/>
    </row>
    <row r="31" spans="1:30" ht="6.75" customHeight="1" thickBot="1">
      <c r="A31" s="205"/>
      <c r="B31" s="206"/>
      <c r="C31" s="206"/>
      <c r="D31" s="211"/>
      <c r="E31" s="206"/>
      <c r="F31" s="208"/>
      <c r="G31" s="208"/>
      <c r="H31" s="208"/>
      <c r="I31" s="208"/>
    </row>
    <row r="32" spans="1:30" ht="18">
      <c r="A32" s="209" t="s">
        <v>101</v>
      </c>
      <c r="B32" s="212" t="str">
        <f>'Input Information'!C5</f>
        <v/>
      </c>
      <c r="C32" s="147"/>
      <c r="D32" s="160" t="s">
        <v>67</v>
      </c>
      <c r="E32" s="90"/>
      <c r="F32" s="90"/>
      <c r="G32" s="90"/>
      <c r="H32" s="90"/>
      <c r="I32" s="90"/>
    </row>
    <row r="33" spans="1:9" ht="30">
      <c r="A33" s="155" t="s">
        <v>14</v>
      </c>
      <c r="B33" s="155" t="s">
        <v>65</v>
      </c>
      <c r="C33" s="172" t="s">
        <v>72</v>
      </c>
      <c r="D33" s="170" t="s">
        <v>90</v>
      </c>
      <c r="E33" s="173" t="s">
        <v>95</v>
      </c>
      <c r="F33" s="156" t="s">
        <v>96</v>
      </c>
      <c r="G33" s="156" t="s">
        <v>97</v>
      </c>
      <c r="H33" s="156" t="s">
        <v>98</v>
      </c>
      <c r="I33" s="156" t="s">
        <v>99</v>
      </c>
    </row>
    <row r="34" spans="1:9" ht="15">
      <c r="A34" s="124">
        <f>'Input Information'!A4</f>
        <v>0</v>
      </c>
      <c r="B34" s="125">
        <f>'Input Information'!D5</f>
        <v>0</v>
      </c>
      <c r="C34" s="174">
        <f>'Input Information'!B4</f>
        <v>0</v>
      </c>
      <c r="D34" s="165">
        <f>IF(B34=0,0,'Input Information'!P5)</f>
        <v>0</v>
      </c>
      <c r="E34" s="166">
        <f>D34/($C$6*0.01)</f>
        <v>0</v>
      </c>
      <c r="F34" s="165">
        <f t="shared" ref="F34:F40" si="12">E34*C34</f>
        <v>0</v>
      </c>
      <c r="G34" s="126">
        <f>F34/2000</f>
        <v>0</v>
      </c>
      <c r="H34" s="167">
        <f t="shared" ref="H34:H40" si="13">$E$6/(2000*($C$6*0.01))*D34</f>
        <v>0</v>
      </c>
      <c r="I34" s="167">
        <f t="shared" ref="I34:I40" si="14">H34*C34</f>
        <v>0</v>
      </c>
    </row>
    <row r="35" spans="1:9" ht="15">
      <c r="A35" s="124">
        <f>'Input Information'!A8</f>
        <v>0</v>
      </c>
      <c r="B35" s="125">
        <f>'Input Information'!D9</f>
        <v>0</v>
      </c>
      <c r="C35" s="174">
        <f>'Input Information'!B8</f>
        <v>0</v>
      </c>
      <c r="D35" s="165">
        <f>IF(B35=0,0,'Input Information'!P9)</f>
        <v>0</v>
      </c>
      <c r="E35" s="166">
        <f t="shared" ref="E35:E40" si="15">D35/($C$6*0.01)</f>
        <v>0</v>
      </c>
      <c r="F35" s="165">
        <f t="shared" si="12"/>
        <v>0</v>
      </c>
      <c r="G35" s="126">
        <f t="shared" ref="G35:G40" si="16">F35/2000</f>
        <v>0</v>
      </c>
      <c r="H35" s="167">
        <f t="shared" si="13"/>
        <v>0</v>
      </c>
      <c r="I35" s="167">
        <f t="shared" si="14"/>
        <v>0</v>
      </c>
    </row>
    <row r="36" spans="1:9" ht="15">
      <c r="A36" s="124">
        <f>'Input Information'!A12</f>
        <v>0</v>
      </c>
      <c r="B36" s="125">
        <f>'Input Information'!D13</f>
        <v>0</v>
      </c>
      <c r="C36" s="174">
        <f>'Input Information'!B12</f>
        <v>0</v>
      </c>
      <c r="D36" s="165">
        <f>IF(B36=0,0,'Input Information'!P13)</f>
        <v>0</v>
      </c>
      <c r="E36" s="166">
        <f t="shared" si="15"/>
        <v>0</v>
      </c>
      <c r="F36" s="165">
        <f t="shared" si="12"/>
        <v>0</v>
      </c>
      <c r="G36" s="126">
        <f t="shared" si="16"/>
        <v>0</v>
      </c>
      <c r="H36" s="167">
        <f t="shared" si="13"/>
        <v>0</v>
      </c>
      <c r="I36" s="167">
        <f t="shared" si="14"/>
        <v>0</v>
      </c>
    </row>
    <row r="37" spans="1:9" ht="15">
      <c r="A37" s="124">
        <f>'Input Information'!A16</f>
        <v>0</v>
      </c>
      <c r="B37" s="125">
        <f>'Input Information'!D17</f>
        <v>0</v>
      </c>
      <c r="C37" s="174">
        <f>'Input Information'!B16</f>
        <v>0</v>
      </c>
      <c r="D37" s="165">
        <f>IF(B37=0,0,'Input Information'!P17)</f>
        <v>0</v>
      </c>
      <c r="E37" s="166">
        <f t="shared" si="15"/>
        <v>0</v>
      </c>
      <c r="F37" s="165">
        <f t="shared" si="12"/>
        <v>0</v>
      </c>
      <c r="G37" s="126">
        <f t="shared" si="16"/>
        <v>0</v>
      </c>
      <c r="H37" s="167">
        <f t="shared" si="13"/>
        <v>0</v>
      </c>
      <c r="I37" s="167">
        <f t="shared" si="14"/>
        <v>0</v>
      </c>
    </row>
    <row r="38" spans="1:9" ht="15">
      <c r="A38" s="124">
        <f>'Input Information'!A20</f>
        <v>0</v>
      </c>
      <c r="B38" s="125">
        <f>'Input Information'!D21</f>
        <v>0</v>
      </c>
      <c r="C38" s="174">
        <f>'Input Information'!B20</f>
        <v>0</v>
      </c>
      <c r="D38" s="165">
        <f>IF(B38=0,0,'Input Information'!P21)</f>
        <v>0</v>
      </c>
      <c r="E38" s="166">
        <f t="shared" si="15"/>
        <v>0</v>
      </c>
      <c r="F38" s="165">
        <f t="shared" si="12"/>
        <v>0</v>
      </c>
      <c r="G38" s="126">
        <f t="shared" si="16"/>
        <v>0</v>
      </c>
      <c r="H38" s="167">
        <f t="shared" si="13"/>
        <v>0</v>
      </c>
      <c r="I38" s="167">
        <f t="shared" si="14"/>
        <v>0</v>
      </c>
    </row>
    <row r="39" spans="1:9" ht="15">
      <c r="A39" s="124">
        <f>'Input Information'!A24</f>
        <v>0</v>
      </c>
      <c r="B39" s="125">
        <f>'Input Information'!D25</f>
        <v>0</v>
      </c>
      <c r="C39" s="174">
        <f>'Input Information'!B24</f>
        <v>0</v>
      </c>
      <c r="D39" s="165">
        <f>IF(B39=0,0,'Input Information'!P25)</f>
        <v>0</v>
      </c>
      <c r="E39" s="166">
        <f t="shared" si="15"/>
        <v>0</v>
      </c>
      <c r="F39" s="165">
        <f t="shared" si="12"/>
        <v>0</v>
      </c>
      <c r="G39" s="126">
        <f t="shared" si="16"/>
        <v>0</v>
      </c>
      <c r="H39" s="167">
        <f t="shared" si="13"/>
        <v>0</v>
      </c>
      <c r="I39" s="167">
        <f t="shared" si="14"/>
        <v>0</v>
      </c>
    </row>
    <row r="40" spans="1:9" ht="15">
      <c r="A40" s="124">
        <f>'Input Information'!A28</f>
        <v>0</v>
      </c>
      <c r="B40" s="125">
        <f>'Input Information'!D29</f>
        <v>0</v>
      </c>
      <c r="C40" s="174">
        <f>'Input Information'!B28</f>
        <v>0</v>
      </c>
      <c r="D40" s="165">
        <f>IF(B40=0,0,'Input Information'!P29)</f>
        <v>0</v>
      </c>
      <c r="E40" s="166">
        <f t="shared" si="15"/>
        <v>0</v>
      </c>
      <c r="F40" s="165">
        <f t="shared" si="12"/>
        <v>0</v>
      </c>
      <c r="G40" s="126">
        <f t="shared" si="16"/>
        <v>0</v>
      </c>
      <c r="H40" s="167">
        <f t="shared" si="13"/>
        <v>0</v>
      </c>
      <c r="I40" s="167">
        <f t="shared" si="14"/>
        <v>0</v>
      </c>
    </row>
    <row r="41" spans="1:9" ht="15">
      <c r="A41" s="85"/>
      <c r="B41" s="59" t="s">
        <v>66</v>
      </c>
      <c r="C41" s="175"/>
      <c r="D41" s="154"/>
      <c r="E41" s="176"/>
      <c r="F41" s="159">
        <f>SUM(F34:F40)</f>
        <v>0</v>
      </c>
      <c r="G41" s="64">
        <f t="shared" ref="G41:I41" si="17">SUM(G34:G40)</f>
        <v>0</v>
      </c>
      <c r="H41" s="178">
        <f t="shared" si="17"/>
        <v>0</v>
      </c>
      <c r="I41" s="117">
        <f t="shared" si="17"/>
        <v>0</v>
      </c>
    </row>
    <row r="42" spans="1:9" ht="7.5" customHeight="1" thickBot="1">
      <c r="A42" s="186"/>
      <c r="B42" s="187"/>
      <c r="C42" s="187"/>
      <c r="D42" s="188"/>
      <c r="E42" s="187"/>
      <c r="F42" s="187"/>
      <c r="G42" s="187"/>
      <c r="H42" s="187"/>
      <c r="I42" s="187"/>
    </row>
    <row r="43" spans="1:9" ht="15">
      <c r="A43" s="161"/>
      <c r="B43" s="147"/>
      <c r="C43" s="147"/>
      <c r="D43" s="160" t="s">
        <v>68</v>
      </c>
      <c r="E43" s="90"/>
      <c r="F43" s="90"/>
      <c r="G43" s="90"/>
      <c r="H43" s="90"/>
      <c r="I43" s="90"/>
    </row>
    <row r="44" spans="1:9" ht="30">
      <c r="A44" s="155" t="s">
        <v>14</v>
      </c>
      <c r="B44" s="155" t="s">
        <v>65</v>
      </c>
      <c r="C44" s="172" t="s">
        <v>72</v>
      </c>
      <c r="D44" s="170" t="s">
        <v>90</v>
      </c>
      <c r="E44" s="173" t="s">
        <v>95</v>
      </c>
      <c r="F44" s="156" t="s">
        <v>96</v>
      </c>
      <c r="G44" s="156" t="s">
        <v>97</v>
      </c>
      <c r="H44" s="156" t="s">
        <v>98</v>
      </c>
      <c r="I44" s="156" t="s">
        <v>99</v>
      </c>
    </row>
    <row r="45" spans="1:9" ht="15">
      <c r="A45" s="115">
        <f>'Input Information'!A4</f>
        <v>0</v>
      </c>
      <c r="B45" s="116">
        <f>'Input Information'!D5</f>
        <v>0</v>
      </c>
      <c r="C45" s="174">
        <f>'Input Information'!B4</f>
        <v>0</v>
      </c>
      <c r="D45" s="151">
        <f>IF(B45=0,0,'Input Information'!Q5)</f>
        <v>0</v>
      </c>
      <c r="E45" s="157">
        <f>D45/($D$7*0.01)</f>
        <v>0</v>
      </c>
      <c r="F45" s="151">
        <f t="shared" ref="F45:F51" si="18">E45*C45</f>
        <v>0</v>
      </c>
      <c r="G45" s="232">
        <f t="shared" ref="G45:G51" si="19">F45/2000</f>
        <v>0</v>
      </c>
      <c r="H45" s="153">
        <f>$E$7/(2000*($D$7*0.01))*D45</f>
        <v>0</v>
      </c>
      <c r="I45" s="153">
        <f t="shared" ref="I45:I51" si="20">H45*C45</f>
        <v>0</v>
      </c>
    </row>
    <row r="46" spans="1:9" ht="15">
      <c r="A46" s="115">
        <f>'Input Information'!A8</f>
        <v>0</v>
      </c>
      <c r="B46" s="116">
        <f>'Input Information'!D9</f>
        <v>0</v>
      </c>
      <c r="C46" s="174">
        <f>'Input Information'!B8</f>
        <v>0</v>
      </c>
      <c r="D46" s="151">
        <f>IF(B46=0,0,'Input Information'!Q9)</f>
        <v>0</v>
      </c>
      <c r="E46" s="157">
        <f t="shared" ref="E46:E51" si="21">D46/($D$7*0.01)</f>
        <v>0</v>
      </c>
      <c r="F46" s="151">
        <f t="shared" si="18"/>
        <v>0</v>
      </c>
      <c r="G46" s="232">
        <f t="shared" si="19"/>
        <v>0</v>
      </c>
      <c r="H46" s="153">
        <f t="shared" ref="H46:H51" si="22">$E$7/(2000*($D$7*0.01))*D46</f>
        <v>0</v>
      </c>
      <c r="I46" s="153">
        <f t="shared" si="20"/>
        <v>0</v>
      </c>
    </row>
    <row r="47" spans="1:9" ht="15">
      <c r="A47" s="115">
        <f>'Input Information'!A12</f>
        <v>0</v>
      </c>
      <c r="B47" s="116">
        <f>'Input Information'!D13</f>
        <v>0</v>
      </c>
      <c r="C47" s="174">
        <f>'Input Information'!B12</f>
        <v>0</v>
      </c>
      <c r="D47" s="151">
        <f>IF(B47=0,0,'Input Information'!Q13)</f>
        <v>0</v>
      </c>
      <c r="E47" s="157">
        <f t="shared" si="21"/>
        <v>0</v>
      </c>
      <c r="F47" s="151">
        <f t="shared" si="18"/>
        <v>0</v>
      </c>
      <c r="G47" s="232">
        <f t="shared" si="19"/>
        <v>0</v>
      </c>
      <c r="H47" s="153">
        <f t="shared" si="22"/>
        <v>0</v>
      </c>
      <c r="I47" s="153">
        <f t="shared" si="20"/>
        <v>0</v>
      </c>
    </row>
    <row r="48" spans="1:9" ht="15">
      <c r="A48" s="115">
        <f>'Input Information'!A16</f>
        <v>0</v>
      </c>
      <c r="B48" s="116">
        <f>'Input Information'!D17</f>
        <v>0</v>
      </c>
      <c r="C48" s="174">
        <f>'Input Information'!B16</f>
        <v>0</v>
      </c>
      <c r="D48" s="151">
        <f>IF(B48=0,0,'Input Information'!Q17)</f>
        <v>0</v>
      </c>
      <c r="E48" s="157">
        <f t="shared" si="21"/>
        <v>0</v>
      </c>
      <c r="F48" s="151">
        <f t="shared" si="18"/>
        <v>0</v>
      </c>
      <c r="G48" s="232">
        <f t="shared" si="19"/>
        <v>0</v>
      </c>
      <c r="H48" s="153">
        <f t="shared" si="22"/>
        <v>0</v>
      </c>
      <c r="I48" s="153">
        <f t="shared" si="20"/>
        <v>0</v>
      </c>
    </row>
    <row r="49" spans="1:9" ht="15">
      <c r="A49" s="115">
        <f>'Input Information'!A20</f>
        <v>0</v>
      </c>
      <c r="B49" s="116">
        <f>'Input Information'!D21</f>
        <v>0</v>
      </c>
      <c r="C49" s="174">
        <f>'Input Information'!B20</f>
        <v>0</v>
      </c>
      <c r="D49" s="151">
        <f>IF(B49=0,0,'Input Information'!Q21)</f>
        <v>0</v>
      </c>
      <c r="E49" s="157">
        <f t="shared" si="21"/>
        <v>0</v>
      </c>
      <c r="F49" s="151">
        <f t="shared" si="18"/>
        <v>0</v>
      </c>
      <c r="G49" s="232">
        <f t="shared" si="19"/>
        <v>0</v>
      </c>
      <c r="H49" s="153">
        <f t="shared" si="22"/>
        <v>0</v>
      </c>
      <c r="I49" s="153">
        <f t="shared" si="20"/>
        <v>0</v>
      </c>
    </row>
    <row r="50" spans="1:9" ht="15">
      <c r="A50" s="115">
        <f>'Input Information'!A24</f>
        <v>0</v>
      </c>
      <c r="B50" s="116">
        <f>'Input Information'!D25</f>
        <v>0</v>
      </c>
      <c r="C50" s="174">
        <f>'Input Information'!B24</f>
        <v>0</v>
      </c>
      <c r="D50" s="151">
        <f>IF(B50=0,0,'Input Information'!Q25)</f>
        <v>0</v>
      </c>
      <c r="E50" s="157">
        <f t="shared" si="21"/>
        <v>0</v>
      </c>
      <c r="F50" s="151">
        <f t="shared" si="18"/>
        <v>0</v>
      </c>
      <c r="G50" s="232">
        <f t="shared" si="19"/>
        <v>0</v>
      </c>
      <c r="H50" s="153">
        <f t="shared" si="22"/>
        <v>0</v>
      </c>
      <c r="I50" s="153">
        <f t="shared" si="20"/>
        <v>0</v>
      </c>
    </row>
    <row r="51" spans="1:9" ht="15">
      <c r="A51" s="115">
        <f>'Input Information'!A28</f>
        <v>0</v>
      </c>
      <c r="B51" s="116">
        <f>'Input Information'!D29</f>
        <v>0</v>
      </c>
      <c r="C51" s="174">
        <f>'Input Information'!B28</f>
        <v>0</v>
      </c>
      <c r="D51" s="151">
        <f>IF(B51=0,0,'Input Information'!Q29)</f>
        <v>0</v>
      </c>
      <c r="E51" s="157">
        <f t="shared" si="21"/>
        <v>0</v>
      </c>
      <c r="F51" s="151">
        <f t="shared" si="18"/>
        <v>0</v>
      </c>
      <c r="G51" s="232">
        <f t="shared" si="19"/>
        <v>0</v>
      </c>
      <c r="H51" s="153">
        <f t="shared" si="22"/>
        <v>0</v>
      </c>
      <c r="I51" s="153">
        <f t="shared" si="20"/>
        <v>0</v>
      </c>
    </row>
    <row r="52" spans="1:9" ht="15">
      <c r="A52" s="85"/>
      <c r="B52" s="59" t="s">
        <v>66</v>
      </c>
      <c r="C52" s="175"/>
      <c r="D52" s="154"/>
      <c r="E52" s="176"/>
      <c r="F52" s="63">
        <f>SUM(F45:F51)</f>
        <v>0</v>
      </c>
      <c r="G52" s="64">
        <f t="shared" ref="G52" si="23">SUM(G45:G51)</f>
        <v>0</v>
      </c>
      <c r="H52" s="178">
        <f t="shared" ref="H52" si="24">SUM(H45:H51)</f>
        <v>0</v>
      </c>
      <c r="I52" s="117">
        <f t="shared" ref="I52" si="25">SUM(I45:I51)</f>
        <v>0</v>
      </c>
    </row>
    <row r="53" spans="1:9" ht="13.5" thickBot="1"/>
    <row r="54" spans="1:9" ht="7.5" customHeight="1" thickBot="1">
      <c r="A54" s="205"/>
      <c r="B54" s="206"/>
      <c r="C54" s="206"/>
      <c r="D54" s="211"/>
      <c r="E54" s="206"/>
      <c r="F54" s="208"/>
      <c r="G54" s="208"/>
      <c r="H54" s="208"/>
      <c r="I54" s="208"/>
    </row>
    <row r="55" spans="1:9" ht="18">
      <c r="A55" s="209" t="s">
        <v>101</v>
      </c>
      <c r="B55" s="212" t="str">
        <f>'Input Information'!C6</f>
        <v/>
      </c>
      <c r="C55" s="147"/>
      <c r="D55" s="160" t="s">
        <v>67</v>
      </c>
      <c r="E55" s="90"/>
      <c r="F55" s="90"/>
      <c r="G55" s="90"/>
      <c r="H55" s="90"/>
      <c r="I55" s="90"/>
    </row>
    <row r="56" spans="1:9" ht="30">
      <c r="A56" s="155" t="s">
        <v>14</v>
      </c>
      <c r="B56" s="155" t="s">
        <v>65</v>
      </c>
      <c r="C56" s="172" t="s">
        <v>72</v>
      </c>
      <c r="D56" s="170" t="s">
        <v>90</v>
      </c>
      <c r="E56" s="173" t="s">
        <v>95</v>
      </c>
      <c r="F56" s="156" t="s">
        <v>96</v>
      </c>
      <c r="G56" s="156" t="s">
        <v>97</v>
      </c>
      <c r="H56" s="156" t="s">
        <v>98</v>
      </c>
      <c r="I56" s="156" t="s">
        <v>99</v>
      </c>
    </row>
    <row r="57" spans="1:9" ht="15">
      <c r="A57" s="124">
        <f>'Input Information'!A4</f>
        <v>0</v>
      </c>
      <c r="B57" s="125">
        <f>'Input Information'!D6</f>
        <v>0</v>
      </c>
      <c r="C57" s="174">
        <f>'Input Information'!B4</f>
        <v>0</v>
      </c>
      <c r="D57" s="165">
        <f>IF(B57=0,0,'Input Information'!P6)</f>
        <v>0</v>
      </c>
      <c r="E57" s="166">
        <f>D57/($C$6*0.01)</f>
        <v>0</v>
      </c>
      <c r="F57" s="165">
        <f t="shared" ref="F57:F63" si="26">E57*C57</f>
        <v>0</v>
      </c>
      <c r="G57" s="126">
        <f>F57/2000</f>
        <v>0</v>
      </c>
      <c r="H57" s="167">
        <f t="shared" ref="H57:H63" si="27">$E$6/(2000*($C$6*0.01))*D57</f>
        <v>0</v>
      </c>
      <c r="I57" s="167">
        <f t="shared" ref="I57:I63" si="28">H57*C57</f>
        <v>0</v>
      </c>
    </row>
    <row r="58" spans="1:9" ht="15">
      <c r="A58" s="124">
        <f>'Input Information'!A8</f>
        <v>0</v>
      </c>
      <c r="B58" s="125">
        <f>'Input Information'!D10</f>
        <v>0</v>
      </c>
      <c r="C58" s="174">
        <f>'Input Information'!B8</f>
        <v>0</v>
      </c>
      <c r="D58" s="165">
        <f>IF(B58=0,0,'Input Information'!P10)</f>
        <v>0</v>
      </c>
      <c r="E58" s="166">
        <f t="shared" ref="E58:E63" si="29">D58/($C$6*0.01)</f>
        <v>0</v>
      </c>
      <c r="F58" s="165">
        <f t="shared" si="26"/>
        <v>0</v>
      </c>
      <c r="G58" s="126">
        <f t="shared" ref="G58:G63" si="30">F58/2000</f>
        <v>0</v>
      </c>
      <c r="H58" s="167">
        <f t="shared" si="27"/>
        <v>0</v>
      </c>
      <c r="I58" s="167">
        <f t="shared" si="28"/>
        <v>0</v>
      </c>
    </row>
    <row r="59" spans="1:9" ht="15">
      <c r="A59" s="124">
        <f>'Input Information'!A12</f>
        <v>0</v>
      </c>
      <c r="B59" s="125">
        <f>'Input Information'!D14</f>
        <v>0</v>
      </c>
      <c r="C59" s="174">
        <f>'Input Information'!B12</f>
        <v>0</v>
      </c>
      <c r="D59" s="165">
        <f>IF(B59=0,0,'Input Information'!P14)</f>
        <v>0</v>
      </c>
      <c r="E59" s="166">
        <f t="shared" si="29"/>
        <v>0</v>
      </c>
      <c r="F59" s="165">
        <f t="shared" si="26"/>
        <v>0</v>
      </c>
      <c r="G59" s="126">
        <f t="shared" si="30"/>
        <v>0</v>
      </c>
      <c r="H59" s="167">
        <f t="shared" si="27"/>
        <v>0</v>
      </c>
      <c r="I59" s="167">
        <f t="shared" si="28"/>
        <v>0</v>
      </c>
    </row>
    <row r="60" spans="1:9" ht="15">
      <c r="A60" s="124">
        <f>'Input Information'!A16</f>
        <v>0</v>
      </c>
      <c r="B60" s="125">
        <f>'Input Information'!D18</f>
        <v>0</v>
      </c>
      <c r="C60" s="174">
        <f>'Input Information'!B16</f>
        <v>0</v>
      </c>
      <c r="D60" s="165">
        <f>IF(B60=0,0,'Input Information'!P18)</f>
        <v>0</v>
      </c>
      <c r="E60" s="166">
        <f t="shared" si="29"/>
        <v>0</v>
      </c>
      <c r="F60" s="165">
        <f t="shared" si="26"/>
        <v>0</v>
      </c>
      <c r="G60" s="126">
        <f t="shared" si="30"/>
        <v>0</v>
      </c>
      <c r="H60" s="167">
        <f t="shared" si="27"/>
        <v>0</v>
      </c>
      <c r="I60" s="167">
        <f t="shared" si="28"/>
        <v>0</v>
      </c>
    </row>
    <row r="61" spans="1:9" ht="15">
      <c r="A61" s="124">
        <f>'Input Information'!A20</f>
        <v>0</v>
      </c>
      <c r="B61" s="125">
        <f>'Input Information'!D22</f>
        <v>0</v>
      </c>
      <c r="C61" s="174">
        <f>'Input Information'!B20</f>
        <v>0</v>
      </c>
      <c r="D61" s="165">
        <f>IF(B61=0,0,'Input Information'!P22)</f>
        <v>0</v>
      </c>
      <c r="E61" s="166">
        <f t="shared" si="29"/>
        <v>0</v>
      </c>
      <c r="F61" s="165">
        <f t="shared" si="26"/>
        <v>0</v>
      </c>
      <c r="G61" s="126">
        <f t="shared" si="30"/>
        <v>0</v>
      </c>
      <c r="H61" s="167">
        <f t="shared" si="27"/>
        <v>0</v>
      </c>
      <c r="I61" s="167">
        <f t="shared" si="28"/>
        <v>0</v>
      </c>
    </row>
    <row r="62" spans="1:9" ht="15">
      <c r="A62" s="124">
        <f>'Input Information'!A24</f>
        <v>0</v>
      </c>
      <c r="B62" s="125">
        <f>'Input Information'!D26</f>
        <v>0</v>
      </c>
      <c r="C62" s="174">
        <f>'Input Information'!B24</f>
        <v>0</v>
      </c>
      <c r="D62" s="165">
        <f>IF(B62=0,0,'Input Information'!P26)</f>
        <v>0</v>
      </c>
      <c r="E62" s="166">
        <f t="shared" si="29"/>
        <v>0</v>
      </c>
      <c r="F62" s="165">
        <f t="shared" si="26"/>
        <v>0</v>
      </c>
      <c r="G62" s="126">
        <f t="shared" si="30"/>
        <v>0</v>
      </c>
      <c r="H62" s="167">
        <f t="shared" si="27"/>
        <v>0</v>
      </c>
      <c r="I62" s="167">
        <f t="shared" si="28"/>
        <v>0</v>
      </c>
    </row>
    <row r="63" spans="1:9" ht="15">
      <c r="A63" s="124">
        <f>'Input Information'!A28</f>
        <v>0</v>
      </c>
      <c r="B63" s="125">
        <f>'Input Information'!D30</f>
        <v>0</v>
      </c>
      <c r="C63" s="174">
        <f>'Input Information'!B28</f>
        <v>0</v>
      </c>
      <c r="D63" s="165">
        <f>IF(B63=0,0,'Input Information'!P30)</f>
        <v>0</v>
      </c>
      <c r="E63" s="166">
        <f t="shared" si="29"/>
        <v>0</v>
      </c>
      <c r="F63" s="165">
        <f t="shared" si="26"/>
        <v>0</v>
      </c>
      <c r="G63" s="126">
        <f t="shared" si="30"/>
        <v>0</v>
      </c>
      <c r="H63" s="167">
        <f t="shared" si="27"/>
        <v>0</v>
      </c>
      <c r="I63" s="167">
        <f t="shared" si="28"/>
        <v>0</v>
      </c>
    </row>
    <row r="64" spans="1:9" ht="15">
      <c r="A64" s="85"/>
      <c r="B64" s="59" t="s">
        <v>66</v>
      </c>
      <c r="C64" s="175"/>
      <c r="D64" s="154"/>
      <c r="E64" s="176"/>
      <c r="F64" s="159">
        <f>SUM(F57:F63)</f>
        <v>0</v>
      </c>
      <c r="G64" s="64">
        <f t="shared" ref="G64:I64" si="31">SUM(G57:G63)</f>
        <v>0</v>
      </c>
      <c r="H64" s="178">
        <f t="shared" si="31"/>
        <v>0</v>
      </c>
      <c r="I64" s="117">
        <f t="shared" si="31"/>
        <v>0</v>
      </c>
    </row>
    <row r="65" spans="1:9" ht="7.5" customHeight="1" thickBot="1">
      <c r="A65" s="186"/>
      <c r="B65" s="187"/>
      <c r="C65" s="187"/>
      <c r="D65" s="188"/>
      <c r="E65" s="187"/>
      <c r="F65" s="187"/>
      <c r="G65" s="187"/>
      <c r="H65" s="187"/>
      <c r="I65" s="187"/>
    </row>
    <row r="66" spans="1:9" ht="15">
      <c r="A66" s="161"/>
      <c r="B66" s="147"/>
      <c r="C66" s="147"/>
      <c r="D66" s="160" t="s">
        <v>68</v>
      </c>
      <c r="E66" s="90"/>
      <c r="F66" s="90"/>
      <c r="G66" s="90"/>
      <c r="H66" s="90"/>
      <c r="I66" s="90"/>
    </row>
    <row r="67" spans="1:9" ht="30">
      <c r="A67" s="155" t="s">
        <v>14</v>
      </c>
      <c r="B67" s="155" t="s">
        <v>65</v>
      </c>
      <c r="C67" s="172" t="s">
        <v>72</v>
      </c>
      <c r="D67" s="170" t="s">
        <v>90</v>
      </c>
      <c r="E67" s="173" t="s">
        <v>95</v>
      </c>
      <c r="F67" s="156" t="s">
        <v>96</v>
      </c>
      <c r="G67" s="156" t="s">
        <v>97</v>
      </c>
      <c r="H67" s="156" t="s">
        <v>98</v>
      </c>
      <c r="I67" s="156" t="s">
        <v>99</v>
      </c>
    </row>
    <row r="68" spans="1:9" ht="15">
      <c r="A68" s="115">
        <f>'Input Information'!A4</f>
        <v>0</v>
      </c>
      <c r="B68" s="116">
        <f>'Input Information'!D6</f>
        <v>0</v>
      </c>
      <c r="C68" s="174">
        <f>'Input Information'!B4</f>
        <v>0</v>
      </c>
      <c r="D68" s="151">
        <f>IF(B68=0,0,'Input Information'!Q6)</f>
        <v>0</v>
      </c>
      <c r="E68" s="157">
        <f>D68/($D$7*0.01)</f>
        <v>0</v>
      </c>
      <c r="F68" s="151">
        <f t="shared" ref="F68:F74" si="32">E68*C68</f>
        <v>0</v>
      </c>
      <c r="G68" s="232">
        <f t="shared" ref="G68:G74" si="33">F68/2000</f>
        <v>0</v>
      </c>
      <c r="H68" s="153">
        <f>$E$7/(2000*($D$7*0.01))*D68</f>
        <v>0</v>
      </c>
      <c r="I68" s="153">
        <f t="shared" ref="I68:I74" si="34">H68*C68</f>
        <v>0</v>
      </c>
    </row>
    <row r="69" spans="1:9" ht="15">
      <c r="A69" s="115">
        <f>'Input Information'!A8</f>
        <v>0</v>
      </c>
      <c r="B69" s="116">
        <f>'Input Information'!D10</f>
        <v>0</v>
      </c>
      <c r="C69" s="174">
        <f>'Input Information'!B8</f>
        <v>0</v>
      </c>
      <c r="D69" s="151">
        <f>IF(B69=0,0,'Input Information'!Q10)</f>
        <v>0</v>
      </c>
      <c r="E69" s="157">
        <f t="shared" ref="E69:E74" si="35">D69/($D$7*0.01)</f>
        <v>0</v>
      </c>
      <c r="F69" s="151">
        <f t="shared" si="32"/>
        <v>0</v>
      </c>
      <c r="G69" s="232">
        <f t="shared" si="33"/>
        <v>0</v>
      </c>
      <c r="H69" s="153">
        <f t="shared" ref="H69:H74" si="36">$E$7/(2000*($D$7*0.01))*D69</f>
        <v>0</v>
      </c>
      <c r="I69" s="153">
        <f t="shared" si="34"/>
        <v>0</v>
      </c>
    </row>
    <row r="70" spans="1:9" ht="15">
      <c r="A70" s="115">
        <f>'Input Information'!A12</f>
        <v>0</v>
      </c>
      <c r="B70" s="116">
        <f>'Input Information'!D14</f>
        <v>0</v>
      </c>
      <c r="C70" s="174">
        <f>'Input Information'!B12</f>
        <v>0</v>
      </c>
      <c r="D70" s="151">
        <f>IF(B70=0,0,'Input Information'!Q14)</f>
        <v>0</v>
      </c>
      <c r="E70" s="157">
        <f t="shared" si="35"/>
        <v>0</v>
      </c>
      <c r="F70" s="151">
        <f t="shared" si="32"/>
        <v>0</v>
      </c>
      <c r="G70" s="232">
        <f t="shared" si="33"/>
        <v>0</v>
      </c>
      <c r="H70" s="153">
        <f t="shared" si="36"/>
        <v>0</v>
      </c>
      <c r="I70" s="153">
        <f t="shared" si="34"/>
        <v>0</v>
      </c>
    </row>
    <row r="71" spans="1:9" ht="15">
      <c r="A71" s="115">
        <f>'Input Information'!A16</f>
        <v>0</v>
      </c>
      <c r="B71" s="116">
        <f>'Input Information'!D18</f>
        <v>0</v>
      </c>
      <c r="C71" s="174">
        <f>'Input Information'!B16</f>
        <v>0</v>
      </c>
      <c r="D71" s="151">
        <f>IF(B71=0,0,'Input Information'!Q18)</f>
        <v>0</v>
      </c>
      <c r="E71" s="157">
        <f t="shared" si="35"/>
        <v>0</v>
      </c>
      <c r="F71" s="151">
        <f t="shared" si="32"/>
        <v>0</v>
      </c>
      <c r="G71" s="232">
        <f t="shared" si="33"/>
        <v>0</v>
      </c>
      <c r="H71" s="153">
        <f t="shared" si="36"/>
        <v>0</v>
      </c>
      <c r="I71" s="153">
        <f t="shared" si="34"/>
        <v>0</v>
      </c>
    </row>
    <row r="72" spans="1:9" ht="15">
      <c r="A72" s="115">
        <f>'Input Information'!A20</f>
        <v>0</v>
      </c>
      <c r="B72" s="116">
        <f>'Input Information'!D22</f>
        <v>0</v>
      </c>
      <c r="C72" s="174">
        <f>'Input Information'!B20</f>
        <v>0</v>
      </c>
      <c r="D72" s="151">
        <f>IF(B72=0,0,'Input Information'!Q22)</f>
        <v>0</v>
      </c>
      <c r="E72" s="157">
        <f t="shared" si="35"/>
        <v>0</v>
      </c>
      <c r="F72" s="151">
        <f t="shared" si="32"/>
        <v>0</v>
      </c>
      <c r="G72" s="232">
        <f t="shared" si="33"/>
        <v>0</v>
      </c>
      <c r="H72" s="153">
        <f t="shared" si="36"/>
        <v>0</v>
      </c>
      <c r="I72" s="153">
        <f t="shared" si="34"/>
        <v>0</v>
      </c>
    </row>
    <row r="73" spans="1:9" ht="15">
      <c r="A73" s="115">
        <f>'Input Information'!A24</f>
        <v>0</v>
      </c>
      <c r="B73" s="116">
        <f>'Input Information'!D26</f>
        <v>0</v>
      </c>
      <c r="C73" s="174">
        <f>'Input Information'!B24</f>
        <v>0</v>
      </c>
      <c r="D73" s="151">
        <f>IF(B73=0,0,'Input Information'!Q26)</f>
        <v>0</v>
      </c>
      <c r="E73" s="157">
        <f t="shared" si="35"/>
        <v>0</v>
      </c>
      <c r="F73" s="151">
        <f t="shared" si="32"/>
        <v>0</v>
      </c>
      <c r="G73" s="232">
        <f t="shared" si="33"/>
        <v>0</v>
      </c>
      <c r="H73" s="153">
        <f t="shared" si="36"/>
        <v>0</v>
      </c>
      <c r="I73" s="153">
        <f t="shared" si="34"/>
        <v>0</v>
      </c>
    </row>
    <row r="74" spans="1:9" ht="15">
      <c r="A74" s="115">
        <f>'Input Information'!A28</f>
        <v>0</v>
      </c>
      <c r="B74" s="116">
        <f>'Input Information'!D30</f>
        <v>0</v>
      </c>
      <c r="C74" s="174">
        <f>'Input Information'!B28</f>
        <v>0</v>
      </c>
      <c r="D74" s="151">
        <f>IF(B74=0,0,'Input Information'!Q30)</f>
        <v>0</v>
      </c>
      <c r="E74" s="157">
        <f t="shared" si="35"/>
        <v>0</v>
      </c>
      <c r="F74" s="151">
        <f t="shared" si="32"/>
        <v>0</v>
      </c>
      <c r="G74" s="232">
        <f t="shared" si="33"/>
        <v>0</v>
      </c>
      <c r="H74" s="153">
        <f t="shared" si="36"/>
        <v>0</v>
      </c>
      <c r="I74" s="153">
        <f t="shared" si="34"/>
        <v>0</v>
      </c>
    </row>
    <row r="75" spans="1:9" ht="15">
      <c r="A75" s="85"/>
      <c r="B75" s="59" t="s">
        <v>66</v>
      </c>
      <c r="C75" s="175"/>
      <c r="D75" s="154"/>
      <c r="E75" s="176"/>
      <c r="F75" s="63">
        <f>SUM(F68:F74)</f>
        <v>0</v>
      </c>
      <c r="G75" s="64">
        <f t="shared" ref="G75" si="37">SUM(G68:G74)</f>
        <v>0</v>
      </c>
      <c r="H75" s="178">
        <f t="shared" ref="H75" si="38">SUM(H68:H74)</f>
        <v>0</v>
      </c>
      <c r="I75" s="117">
        <f t="shared" ref="I75" si="39">SUM(I68:I74)</f>
        <v>0</v>
      </c>
    </row>
  </sheetData>
  <sheetProtection password="FFAA" sheet="1" objects="1" scenarios="1" selectLockedCells="1"/>
  <pageMargins left="0.7" right="0.7" top="0.57999999999999996" bottom="0.75" header="0.3" footer="0.3"/>
  <pageSetup scale="48" orientation="portrait" r:id="rId1"/>
  <headerFooter>
    <oddHeader xml:space="preserve">&amp;L&amp;16Fertilizer Rate and Cost Report (Version 2014-1)                     Creation Date: &amp;D
</oddHeader>
  </headerFooter>
  <drawing r:id="rId2"/>
  <legacyDrawing r:id="rId3"/>
</worksheet>
</file>

<file path=xl/worksheets/sheet6.xml><?xml version="1.0" encoding="utf-8"?>
<worksheet xmlns="http://schemas.openxmlformats.org/spreadsheetml/2006/main" xmlns:r="http://schemas.openxmlformats.org/officeDocument/2006/relationships">
  <sheetPr codeName="Sheet3">
    <pageSetUpPr fitToPage="1"/>
  </sheetPr>
  <dimension ref="A1:AG62"/>
  <sheetViews>
    <sheetView workbookViewId="0">
      <selection activeCell="K29" sqref="K29"/>
    </sheetView>
  </sheetViews>
  <sheetFormatPr defaultRowHeight="12.75"/>
  <cols>
    <col min="1" max="1" width="18.42578125" customWidth="1"/>
    <col min="2" max="2" width="8" customWidth="1"/>
    <col min="3" max="3" width="6.7109375" customWidth="1"/>
    <col min="4" max="4" width="6.28515625" customWidth="1"/>
    <col min="5" max="5" width="12.5703125" customWidth="1"/>
    <col min="6" max="6" width="4.28515625" customWidth="1"/>
    <col min="7" max="7" width="4.42578125" customWidth="1"/>
    <col min="8" max="9" width="8.42578125" customWidth="1"/>
    <col min="10" max="10" width="11.42578125" customWidth="1"/>
    <col min="11" max="11" width="5.5703125" customWidth="1"/>
    <col min="12" max="12" width="5.28515625" customWidth="1"/>
    <col min="13" max="13" width="6" customWidth="1"/>
    <col min="14" max="14" width="5.42578125" customWidth="1"/>
    <col min="15" max="15" width="11" customWidth="1"/>
    <col min="16" max="17" width="6" customWidth="1"/>
    <col min="18" max="18" width="5.42578125" customWidth="1"/>
    <col min="26" max="26" width="21.28515625" customWidth="1"/>
    <col min="27" max="27" width="5.7109375" customWidth="1"/>
    <col min="28" max="28" width="5.140625" customWidth="1"/>
    <col min="29" max="29" width="6.28515625" customWidth="1"/>
    <col min="30" max="31" width="6" customWidth="1"/>
    <col min="32" max="32" width="12.28515625" customWidth="1"/>
    <col min="33" max="33" width="12.42578125" customWidth="1"/>
  </cols>
  <sheetData>
    <row r="1" spans="1:33">
      <c r="A1" s="50" t="s">
        <v>52</v>
      </c>
      <c r="B1" s="3" t="s">
        <v>6</v>
      </c>
      <c r="C1" s="3" t="s">
        <v>41</v>
      </c>
      <c r="D1" s="3" t="s">
        <v>33</v>
      </c>
      <c r="E1" s="3" t="s">
        <v>59</v>
      </c>
      <c r="F1" s="3" t="s">
        <v>24</v>
      </c>
      <c r="G1" s="16" t="s">
        <v>25</v>
      </c>
      <c r="H1" s="40" t="s">
        <v>114</v>
      </c>
      <c r="I1" s="40" t="s">
        <v>115</v>
      </c>
      <c r="J1" s="3" t="s">
        <v>31</v>
      </c>
      <c r="K1" s="3" t="s">
        <v>33</v>
      </c>
      <c r="L1" t="s">
        <v>26</v>
      </c>
      <c r="M1" t="s">
        <v>27</v>
      </c>
      <c r="N1" s="3" t="s">
        <v>71</v>
      </c>
      <c r="P1" s="3" t="s">
        <v>33</v>
      </c>
      <c r="Q1" s="3" t="s">
        <v>33</v>
      </c>
      <c r="R1" s="3" t="s">
        <v>37</v>
      </c>
      <c r="S1" s="3" t="s">
        <v>46</v>
      </c>
      <c r="T1" s="3"/>
      <c r="U1" s="3"/>
      <c r="V1" s="3" t="s">
        <v>51</v>
      </c>
      <c r="W1" s="3" t="s">
        <v>48</v>
      </c>
      <c r="X1" s="3" t="s">
        <v>49</v>
      </c>
      <c r="Y1" s="3" t="s">
        <v>50</v>
      </c>
      <c r="AB1" t="s">
        <v>7</v>
      </c>
      <c r="AC1" s="3" t="s">
        <v>36</v>
      </c>
      <c r="AD1" t="s">
        <v>8</v>
      </c>
      <c r="AE1" s="3" t="s">
        <v>44</v>
      </c>
      <c r="AF1" t="s">
        <v>9</v>
      </c>
      <c r="AG1" t="s">
        <v>13</v>
      </c>
    </row>
    <row r="2" spans="1:33">
      <c r="A2" s="7">
        <f>'Input Information'!$D$4</f>
        <v>0</v>
      </c>
      <c r="B2" s="8"/>
      <c r="C2" s="8" t="s">
        <v>28</v>
      </c>
      <c r="D2" s="20" t="e">
        <f>((F2-G2)*5)+K2</f>
        <v>#N/A</v>
      </c>
      <c r="E2" s="20"/>
      <c r="F2" s="8" t="e">
        <f>VLOOKUP(A2,$Z$1:$AG$7,3,)</f>
        <v>#N/A</v>
      </c>
      <c r="G2" s="21">
        <f>IF(I2&lt;1,1,I2)</f>
        <v>1</v>
      </c>
      <c r="H2" s="21">
        <f>IF(Introduction!C7="pounds per acre",('Input Information'!K4/2),'Input Information'!K4)</f>
        <v>0</v>
      </c>
      <c r="I2" s="21">
        <f>IF(Introduction!C8="Bray 1",H2,-8.08+0.832*H2)</f>
        <v>0</v>
      </c>
      <c r="J2" s="8" t="s">
        <v>34</v>
      </c>
      <c r="K2" s="9" t="e">
        <f>L2*M2</f>
        <v>#N/A</v>
      </c>
      <c r="L2" s="5">
        <f>'Input Information'!$F$4</f>
        <v>0</v>
      </c>
      <c r="M2" s="5" t="e">
        <f>VLOOKUP(A2,$Z$2:$AG$7,7,)</f>
        <v>#N/A</v>
      </c>
      <c r="N2" s="5"/>
      <c r="O2" s="8" t="s">
        <v>35</v>
      </c>
      <c r="P2" s="23" t="e">
        <f>K2-(K2*(G2-(F2+15))/10)</f>
        <v>#N/A</v>
      </c>
      <c r="Q2" s="23" t="e">
        <f>IF(P2&lt;0,"0",P2)</f>
        <v>#N/A</v>
      </c>
      <c r="R2" s="10" t="e">
        <f>VLOOKUP(A2,$Z$2:$AG$7,4,)</f>
        <v>#N/A</v>
      </c>
      <c r="U2" s="43"/>
      <c r="V2" s="47">
        <f>'Input Information'!J4</f>
        <v>0</v>
      </c>
      <c r="W2" s="48">
        <f>IF(-6.7553*V2+46.8098&lt;0.5,"0",-6.7553*V2+46.8098)</f>
        <v>46.809800000000003</v>
      </c>
      <c r="X2" s="48">
        <f>IF(-5.6399*V2+39.1496&lt;0.5,"0",-5.6399*V2+39.1496)</f>
        <v>39.1496</v>
      </c>
      <c r="Y2" s="49">
        <f>IF(-4.5721*V2+31.7602&lt;0.5,"0",-4.5721*V2+31.7602)</f>
        <v>31.760200000000001</v>
      </c>
      <c r="Z2" t="s">
        <v>2</v>
      </c>
      <c r="AA2" t="s">
        <v>11</v>
      </c>
      <c r="AB2">
        <v>15</v>
      </c>
      <c r="AC2">
        <v>30</v>
      </c>
      <c r="AD2" s="2">
        <f>75+(2.5*$B$6)</f>
        <v>75</v>
      </c>
      <c r="AE2" s="2">
        <f>AD2+30</f>
        <v>105</v>
      </c>
      <c r="AF2" s="4">
        <v>0.37</v>
      </c>
      <c r="AG2">
        <v>0.27</v>
      </c>
    </row>
    <row r="3" spans="1:33">
      <c r="A3" s="11">
        <f>'Input Information'!$D$5</f>
        <v>0</v>
      </c>
      <c r="B3" s="12"/>
      <c r="C3" s="12" t="s">
        <v>28</v>
      </c>
      <c r="D3" s="21" t="e">
        <f>((F3-G3)*5)+K3</f>
        <v>#N/A</v>
      </c>
      <c r="E3" s="21"/>
      <c r="F3" s="12" t="e">
        <f>VLOOKUP(A3,$Z$1:$AG$7,3,)</f>
        <v>#N/A</v>
      </c>
      <c r="G3" s="21">
        <f t="shared" ref="G3:G4" si="0">IF(I3&lt;1,1,I3)</f>
        <v>1</v>
      </c>
      <c r="H3" s="21">
        <f>IF(Introduction!C7="pounds per acre",('Input Information'!K5/2),'Input Information'!K5)</f>
        <v>0</v>
      </c>
      <c r="I3" s="21">
        <f>IF(Introduction!C8="Bray 1",H3,-8.08+0.832*H3)</f>
        <v>0</v>
      </c>
      <c r="J3" s="12" t="s">
        <v>34</v>
      </c>
      <c r="K3" s="13" t="e">
        <f>L3*M3</f>
        <v>#N/A</v>
      </c>
      <c r="L3" s="6">
        <f>'Input Information'!$F$5</f>
        <v>0</v>
      </c>
      <c r="M3" s="6" t="e">
        <f>VLOOKUP(A3,$Z$2:$AG$7,7,)</f>
        <v>#N/A</v>
      </c>
      <c r="N3" s="6"/>
      <c r="O3" s="12" t="s">
        <v>35</v>
      </c>
      <c r="P3" s="24" t="e">
        <f>K3-(K3*(G3-(F3+15))/10)</f>
        <v>#N/A</v>
      </c>
      <c r="Q3" s="24" t="e">
        <f t="shared" ref="Q3:Q4" si="1">IF(P3&lt;0,"0",P3)</f>
        <v>#N/A</v>
      </c>
      <c r="R3" s="14" t="e">
        <f>VLOOKUP(A3,$Z$2:$AG$7,4,)</f>
        <v>#N/A</v>
      </c>
      <c r="Z3" t="s">
        <v>10</v>
      </c>
      <c r="AA3" t="s">
        <v>12</v>
      </c>
      <c r="AB3">
        <v>15</v>
      </c>
      <c r="AC3">
        <v>30</v>
      </c>
      <c r="AD3" s="2">
        <f t="shared" ref="AD3:AD7" si="2">75+(2.5*$B$6)</f>
        <v>75</v>
      </c>
      <c r="AE3" s="2">
        <f t="shared" ref="AE3:AE7" si="3">AD3+30</f>
        <v>105</v>
      </c>
      <c r="AF3" s="4">
        <v>3.3</v>
      </c>
      <c r="AG3">
        <v>8</v>
      </c>
    </row>
    <row r="4" spans="1:33">
      <c r="A4" s="15">
        <f>'Input Information'!$D$6</f>
        <v>0</v>
      </c>
      <c r="B4" s="16"/>
      <c r="C4" s="16" t="s">
        <v>28</v>
      </c>
      <c r="D4" s="22" t="e">
        <f>((F4-G4)*5)+K4</f>
        <v>#N/A</v>
      </c>
      <c r="E4" s="22"/>
      <c r="F4" s="16" t="e">
        <f>VLOOKUP(A4,$Z$1:$AG$7,3,)</f>
        <v>#N/A</v>
      </c>
      <c r="G4" s="21">
        <f t="shared" si="0"/>
        <v>1</v>
      </c>
      <c r="H4" s="22">
        <f>IF(Introduction!C7="pounds per acre",('Input Information'!K6/2),'Input Information'!K6)</f>
        <v>0</v>
      </c>
      <c r="I4" s="22">
        <f>IF(Introduction!C8="Bray 1",H4,-8.08+0.832*H4)</f>
        <v>0</v>
      </c>
      <c r="J4" s="16" t="s">
        <v>34</v>
      </c>
      <c r="K4" s="18" t="e">
        <f>L4*M4</f>
        <v>#N/A</v>
      </c>
      <c r="L4" s="17">
        <f>'Input Information'!$F$6</f>
        <v>0</v>
      </c>
      <c r="M4" s="17" t="e">
        <f>VLOOKUP(A4,$Z$2:$AG$7,7,)</f>
        <v>#N/A</v>
      </c>
      <c r="N4" s="17"/>
      <c r="O4" s="16" t="s">
        <v>35</v>
      </c>
      <c r="P4" s="25" t="e">
        <f>K4-(K4*(G4-(F4+15))/10)</f>
        <v>#N/A</v>
      </c>
      <c r="Q4" s="25" t="e">
        <f t="shared" si="1"/>
        <v>#N/A</v>
      </c>
      <c r="R4" s="19" t="e">
        <f>VLOOKUP(A4,$Z$2:$AG$7,4,)</f>
        <v>#N/A</v>
      </c>
      <c r="Z4" t="s">
        <v>3</v>
      </c>
      <c r="AA4" t="s">
        <v>11</v>
      </c>
      <c r="AB4">
        <v>15</v>
      </c>
      <c r="AC4">
        <v>30</v>
      </c>
      <c r="AD4" s="2">
        <f t="shared" si="2"/>
        <v>75</v>
      </c>
      <c r="AE4" s="2">
        <f t="shared" si="3"/>
        <v>105</v>
      </c>
      <c r="AF4" s="4">
        <v>0.8</v>
      </c>
      <c r="AG4">
        <v>1.4</v>
      </c>
    </row>
    <row r="5" spans="1:33">
      <c r="C5" s="3" t="s">
        <v>42</v>
      </c>
      <c r="D5" s="3" t="s">
        <v>33</v>
      </c>
      <c r="E5" s="3"/>
      <c r="G5" s="108"/>
      <c r="H5" s="108"/>
      <c r="I5" s="108"/>
      <c r="J5" s="3" t="s">
        <v>43</v>
      </c>
      <c r="K5" s="3" t="s">
        <v>33</v>
      </c>
      <c r="P5" s="26"/>
      <c r="Q5" s="26"/>
      <c r="Z5" s="3" t="s">
        <v>38</v>
      </c>
      <c r="AA5" t="s">
        <v>11</v>
      </c>
      <c r="AB5">
        <v>25</v>
      </c>
      <c r="AC5">
        <v>40</v>
      </c>
      <c r="AD5" s="2">
        <f t="shared" si="2"/>
        <v>75</v>
      </c>
      <c r="AE5" s="2">
        <f t="shared" si="3"/>
        <v>105</v>
      </c>
      <c r="AF5" s="4">
        <v>0.63</v>
      </c>
      <c r="AG5">
        <v>0.37</v>
      </c>
    </row>
    <row r="6" spans="1:33">
      <c r="A6" s="7">
        <f>'Input Information'!$D$4</f>
        <v>0</v>
      </c>
      <c r="B6" s="8">
        <f>'Input Information'!$H$4</f>
        <v>0</v>
      </c>
      <c r="C6" s="8" t="s">
        <v>28</v>
      </c>
      <c r="D6" s="9" t="e">
        <f>((F6-G6)*((1+(0.05*B6)))+(K6))</f>
        <v>#N/A</v>
      </c>
      <c r="E6" s="23" t="e">
        <f>IF(OR(AND('Input Information'!D4="Alfalfa",G6&lt;=Calc!F6),AND('Input Information'!D4="Corn-Silage",G6&lt;=Calc!F6)),IF(D6&gt;300,"300",D6),D6)</f>
        <v>#N/A</v>
      </c>
      <c r="F6" s="20" t="e">
        <f>VLOOKUP(A6,$Z$1:$AG$7,5,)</f>
        <v>#N/A</v>
      </c>
      <c r="G6" s="12">
        <f>IF(Introduction!C7="pounds per acre",('Input Information'!L4/2),'Input Information'!L4)</f>
        <v>0</v>
      </c>
      <c r="H6" s="203"/>
      <c r="I6" s="203"/>
      <c r="J6" s="8" t="s">
        <v>34</v>
      </c>
      <c r="K6" s="9" t="e">
        <f>(L6*M6)+N6</f>
        <v>#N/A</v>
      </c>
      <c r="L6" s="5">
        <f>'Input Information'!$F$4</f>
        <v>0</v>
      </c>
      <c r="M6" s="5" t="e">
        <f>VLOOKUP(A6,$Z$2:$AG$7,8,)</f>
        <v>#N/A</v>
      </c>
      <c r="N6" s="5">
        <v>20</v>
      </c>
      <c r="O6" s="8" t="s">
        <v>35</v>
      </c>
      <c r="P6" s="27" t="e">
        <f>K6-(K6*(G6-(F6+30))/20)</f>
        <v>#N/A</v>
      </c>
      <c r="Q6" s="23" t="e">
        <f t="shared" ref="Q6:Q8" si="4">IF(P6&lt;0,"0",P6)</f>
        <v>#N/A</v>
      </c>
      <c r="R6" s="5" t="e">
        <f>VLOOKUP(A6,$Z$2:$AG$7,6,)</f>
        <v>#N/A</v>
      </c>
      <c r="S6" s="9" t="e">
        <f>K6-(K6*(G6-F6)/50)</f>
        <v>#N/A</v>
      </c>
      <c r="T6" s="51" t="e">
        <f t="shared" ref="T6:T7" si="5">IF(S6&lt;0,"0",S6)</f>
        <v>#N/A</v>
      </c>
      <c r="U6" s="13"/>
      <c r="V6" s="13"/>
      <c r="W6" s="13"/>
      <c r="X6" s="13"/>
      <c r="Y6" s="13"/>
      <c r="Z6" s="3" t="s">
        <v>39</v>
      </c>
      <c r="AA6" t="s">
        <v>11</v>
      </c>
      <c r="AB6">
        <v>25</v>
      </c>
      <c r="AC6">
        <v>40</v>
      </c>
      <c r="AD6" s="2">
        <f t="shared" si="2"/>
        <v>75</v>
      </c>
      <c r="AE6" s="2">
        <f t="shared" si="3"/>
        <v>105</v>
      </c>
      <c r="AF6" s="4">
        <v>0.72</v>
      </c>
      <c r="AG6">
        <v>1.28</v>
      </c>
    </row>
    <row r="7" spans="1:33">
      <c r="A7" s="11">
        <f>'Input Information'!$D$5</f>
        <v>0</v>
      </c>
      <c r="B7" s="12">
        <f>'Input Information'!$H$4</f>
        <v>0</v>
      </c>
      <c r="C7" s="12" t="s">
        <v>28</v>
      </c>
      <c r="D7" s="13" t="e">
        <f>((F7-G7)*((1+(0.05*B7)))+(K7))</f>
        <v>#N/A</v>
      </c>
      <c r="E7" s="24" t="e">
        <f>IF(OR(AND('Input Information'!D5="Alfalfa",G7&lt;=Calc!F7),AND('Input Information'!D5="Corn-Silage",G7&lt;=Calc!F7)),IF(D7&gt;300,"300",D7),D7)</f>
        <v>#N/A</v>
      </c>
      <c r="F7" s="21" t="e">
        <f>VLOOKUP(A7,$Z$1:$AG$7,5,)</f>
        <v>#N/A</v>
      </c>
      <c r="G7" s="12">
        <f>IF(Introduction!C7="pounds per acre",('Input Information'!L5/2),'Input Information'!L5)</f>
        <v>0</v>
      </c>
      <c r="H7" s="203"/>
      <c r="I7" s="203"/>
      <c r="J7" s="12" t="s">
        <v>34</v>
      </c>
      <c r="K7" s="13" t="e">
        <f t="shared" ref="K7:K8" si="6">(L7*M7)+N7</f>
        <v>#N/A</v>
      </c>
      <c r="L7" s="6">
        <f>'Input Information'!$F$5</f>
        <v>0</v>
      </c>
      <c r="M7" s="6" t="e">
        <f>VLOOKUP(A7,$Z$2:$AG$7,8,)</f>
        <v>#N/A</v>
      </c>
      <c r="N7" s="6">
        <v>20</v>
      </c>
      <c r="O7" s="12" t="s">
        <v>35</v>
      </c>
      <c r="P7" s="28" t="e">
        <f>K7-((K7*(G7-(F7+30))/20))</f>
        <v>#N/A</v>
      </c>
      <c r="Q7" s="24" t="e">
        <f t="shared" si="4"/>
        <v>#N/A</v>
      </c>
      <c r="R7" s="6" t="e">
        <f>VLOOKUP(A7,$Z$2:$AG$7,6,)</f>
        <v>#N/A</v>
      </c>
      <c r="S7" s="13" t="e">
        <f>K7-(K7*(G7-F7)/50)</f>
        <v>#N/A</v>
      </c>
      <c r="T7" s="52" t="e">
        <f t="shared" si="5"/>
        <v>#N/A</v>
      </c>
      <c r="U7" s="13"/>
      <c r="V7" s="13"/>
      <c r="W7" s="13"/>
      <c r="X7" s="13"/>
      <c r="Y7" s="13"/>
      <c r="Z7" t="s">
        <v>4</v>
      </c>
      <c r="AA7" t="s">
        <v>12</v>
      </c>
      <c r="AB7">
        <v>25</v>
      </c>
      <c r="AC7">
        <v>40</v>
      </c>
      <c r="AD7" s="2">
        <f t="shared" si="2"/>
        <v>75</v>
      </c>
      <c r="AE7" s="2">
        <f t="shared" si="3"/>
        <v>105</v>
      </c>
      <c r="AF7" s="4">
        <v>13</v>
      </c>
      <c r="AG7">
        <v>50</v>
      </c>
    </row>
    <row r="8" spans="1:33">
      <c r="A8" s="15">
        <f>'Input Information'!$D$6</f>
        <v>0</v>
      </c>
      <c r="B8" s="16">
        <f>'Input Information'!$H$4</f>
        <v>0</v>
      </c>
      <c r="C8" s="16" t="s">
        <v>28</v>
      </c>
      <c r="D8" s="18" t="e">
        <f>((F8-G8)*((1+(0.05*B8)))+(K8))</f>
        <v>#N/A</v>
      </c>
      <c r="E8" s="25" t="e">
        <f>IF(OR(AND('Input Information'!D6="Alfalfa",G8&lt;=Calc!F8),AND('Input Information'!D6="Corn-Silage",G8&lt;=Calc!F8)),IF(D8&gt;300,"300",D8),D8)</f>
        <v>#N/A</v>
      </c>
      <c r="F8" s="22" t="e">
        <f>VLOOKUP(A8,$Z$1:$AG$7,5,)</f>
        <v>#N/A</v>
      </c>
      <c r="G8" s="16">
        <f>IF(Introduction!C7="pounds per acre",('Input Information'!L6/2),'Input Information'!L6)</f>
        <v>0</v>
      </c>
      <c r="H8" s="204"/>
      <c r="I8" s="204"/>
      <c r="J8" s="16" t="s">
        <v>34</v>
      </c>
      <c r="K8" s="18" t="e">
        <f t="shared" si="6"/>
        <v>#N/A</v>
      </c>
      <c r="L8" s="17">
        <f>'Input Information'!$F$6</f>
        <v>0</v>
      </c>
      <c r="M8" s="17" t="e">
        <f>VLOOKUP(A8,$Z$2:$AG$7,8,)</f>
        <v>#N/A</v>
      </c>
      <c r="N8" s="17">
        <v>20</v>
      </c>
      <c r="O8" s="16" t="s">
        <v>35</v>
      </c>
      <c r="P8" s="29" t="e">
        <f>K8-((K8*(G8-(F8+30))/20))</f>
        <v>#N/A</v>
      </c>
      <c r="Q8" s="25" t="e">
        <f t="shared" si="4"/>
        <v>#N/A</v>
      </c>
      <c r="R8" s="17" t="e">
        <f>VLOOKUP(A8,$Z$2:$AG$7,6,)</f>
        <v>#N/A</v>
      </c>
      <c r="S8" s="18" t="e">
        <f>K8-(K8*(G8-F8)/50)</f>
        <v>#N/A</v>
      </c>
      <c r="T8" s="53" t="e">
        <f>IF(S8&lt;0,"0",IF(S8&gt;300,"300",S8))</f>
        <v>#N/A</v>
      </c>
      <c r="U8" s="13"/>
      <c r="V8" s="13"/>
      <c r="W8" s="13"/>
      <c r="X8" s="13"/>
      <c r="Y8" s="13"/>
    </row>
    <row r="9" spans="1:33">
      <c r="A9" s="50" t="s">
        <v>53</v>
      </c>
    </row>
    <row r="10" spans="1:33">
      <c r="A10" s="3" t="s">
        <v>15</v>
      </c>
      <c r="B10" s="3" t="s">
        <v>6</v>
      </c>
      <c r="C10" s="3" t="s">
        <v>41</v>
      </c>
      <c r="D10" s="3" t="s">
        <v>33</v>
      </c>
      <c r="E10" s="3"/>
      <c r="F10" s="3" t="s">
        <v>24</v>
      </c>
      <c r="G10" s="16" t="s">
        <v>25</v>
      </c>
      <c r="H10" s="40" t="s">
        <v>114</v>
      </c>
      <c r="I10" s="40" t="s">
        <v>115</v>
      </c>
      <c r="J10" s="3" t="s">
        <v>31</v>
      </c>
      <c r="K10" s="3" t="s">
        <v>33</v>
      </c>
      <c r="L10" t="s">
        <v>26</v>
      </c>
      <c r="M10" t="s">
        <v>27</v>
      </c>
      <c r="P10" s="3" t="s">
        <v>33</v>
      </c>
      <c r="Q10" s="3" t="s">
        <v>33</v>
      </c>
      <c r="R10" s="3" t="s">
        <v>37</v>
      </c>
      <c r="AB10" t="s">
        <v>7</v>
      </c>
      <c r="AC10" s="3" t="s">
        <v>36</v>
      </c>
      <c r="AD10" t="s">
        <v>8</v>
      </c>
      <c r="AE10" s="3" t="s">
        <v>44</v>
      </c>
      <c r="AF10" t="s">
        <v>9</v>
      </c>
      <c r="AG10" t="s">
        <v>13</v>
      </c>
    </row>
    <row r="11" spans="1:33">
      <c r="A11" s="7">
        <f>'Input Information'!$D$8</f>
        <v>0</v>
      </c>
      <c r="B11" s="8"/>
      <c r="C11" s="8" t="s">
        <v>28</v>
      </c>
      <c r="D11" s="32" t="e">
        <f>((F11-G11)*5)+K11</f>
        <v>#N/A</v>
      </c>
      <c r="E11" s="32"/>
      <c r="F11" s="33" t="e">
        <f>VLOOKUP(A11,$Z$10:$AG$16,3,)</f>
        <v>#N/A</v>
      </c>
      <c r="G11" s="21">
        <f>IF(I11&lt;1,1,I11)</f>
        <v>1</v>
      </c>
      <c r="H11" s="21">
        <f>IF(Introduction!C7="pounds per acre",('Input Information'!K8/2),'Input Information'!K8)</f>
        <v>0</v>
      </c>
      <c r="I11" s="21">
        <f>IF(Introduction!C8="Bray 1",H11,-8.08+0.832*H11)</f>
        <v>0</v>
      </c>
      <c r="J11" s="33" t="s">
        <v>34</v>
      </c>
      <c r="K11" s="34" t="e">
        <f>L11*M11</f>
        <v>#N/A</v>
      </c>
      <c r="L11" s="35">
        <f>'Input Information'!$F$8</f>
        <v>0</v>
      </c>
      <c r="M11" s="35" t="e">
        <f>VLOOKUP(A11,$Z$2:$AG$7,7,)</f>
        <v>#N/A</v>
      </c>
      <c r="N11" s="35"/>
      <c r="O11" s="8" t="s">
        <v>35</v>
      </c>
      <c r="P11" s="23" t="e">
        <f>K11-(K11*(G11-(F11+15))/10)</f>
        <v>#N/A</v>
      </c>
      <c r="Q11" s="23" t="e">
        <f>IF(P11&lt;0,"0",P11)</f>
        <v>#N/A</v>
      </c>
      <c r="R11" s="10" t="e">
        <f>VLOOKUP(A11,$Z$11:$AG$16,4,)</f>
        <v>#N/A</v>
      </c>
      <c r="V11" s="47">
        <f>'Input Information'!J8</f>
        <v>0</v>
      </c>
      <c r="W11" s="48">
        <f>IF(-6.7553*V11+46.8098&lt;0.5,"0",-6.7553*V11+46.8098)</f>
        <v>46.809800000000003</v>
      </c>
      <c r="X11" s="48">
        <f>IF(-5.6399*V11+39.1496&lt;0.5,"0",-5.6399*V11+39.1496)</f>
        <v>39.1496</v>
      </c>
      <c r="Y11" s="49">
        <f>IF(-4.5721*V11+31.7602&lt;0.5,"0",-4.5721*V11+31.7602)</f>
        <v>31.760200000000001</v>
      </c>
      <c r="Z11" t="s">
        <v>2</v>
      </c>
      <c r="AA11" t="s">
        <v>11</v>
      </c>
      <c r="AB11">
        <v>15</v>
      </c>
      <c r="AC11">
        <v>30</v>
      </c>
      <c r="AD11" s="2">
        <f>75+(2.5*$B$15)</f>
        <v>75</v>
      </c>
      <c r="AE11" s="2">
        <f>AD11+30</f>
        <v>105</v>
      </c>
      <c r="AF11" s="4">
        <v>0.37</v>
      </c>
      <c r="AG11">
        <v>0.27</v>
      </c>
    </row>
    <row r="12" spans="1:33">
      <c r="A12" s="11">
        <f>'Input Information'!$D$9</f>
        <v>0</v>
      </c>
      <c r="B12" s="12"/>
      <c r="C12" s="12" t="s">
        <v>28</v>
      </c>
      <c r="D12" s="36" t="e">
        <f>((F12-G12)*5)+K12</f>
        <v>#N/A</v>
      </c>
      <c r="E12" s="36"/>
      <c r="F12" s="37" t="e">
        <f>VLOOKUP(A12,$Z$10:$AG$16,3,)</f>
        <v>#N/A</v>
      </c>
      <c r="G12" s="21">
        <f t="shared" ref="G12:G13" si="7">IF(I12&lt;1,1,I12)</f>
        <v>1</v>
      </c>
      <c r="H12" s="21">
        <f>IF(Introduction!C7="pounds per acre",('Input Information'!K9/2),'Input Information'!K9)</f>
        <v>0</v>
      </c>
      <c r="I12" s="21">
        <f>IF(Introduction!C8="Bray 1",H12,-8.08+0.832*H12)</f>
        <v>0</v>
      </c>
      <c r="J12" s="37" t="s">
        <v>34</v>
      </c>
      <c r="K12" s="38" t="e">
        <f>L12*M12</f>
        <v>#N/A</v>
      </c>
      <c r="L12" s="31">
        <f>'Input Information'!$F$9</f>
        <v>0</v>
      </c>
      <c r="M12" s="31" t="e">
        <f>VLOOKUP(A12,$Z$2:$AG$7,7,)</f>
        <v>#N/A</v>
      </c>
      <c r="N12" s="31"/>
      <c r="O12" s="12" t="s">
        <v>35</v>
      </c>
      <c r="P12" s="24" t="e">
        <f>K12-(K12*(G12-(F12+15))/10)</f>
        <v>#N/A</v>
      </c>
      <c r="Q12" s="24" t="e">
        <f t="shared" ref="Q12" si="8">IF(P12&lt;0,"0",P12)</f>
        <v>#N/A</v>
      </c>
      <c r="R12" s="14" t="e">
        <f>VLOOKUP(A12,$Z$11:$AG$16,4,)</f>
        <v>#N/A</v>
      </c>
      <c r="Z12" t="s">
        <v>10</v>
      </c>
      <c r="AA12" t="s">
        <v>12</v>
      </c>
      <c r="AB12">
        <v>15</v>
      </c>
      <c r="AC12">
        <v>30</v>
      </c>
      <c r="AD12" s="2">
        <f t="shared" ref="AD12:AD16" si="9">75+(2.5*$B$15)</f>
        <v>75</v>
      </c>
      <c r="AE12" s="2">
        <f t="shared" ref="AE12:AE16" si="10">AD12+30</f>
        <v>105</v>
      </c>
      <c r="AF12" s="4">
        <v>3.3</v>
      </c>
      <c r="AG12">
        <v>8</v>
      </c>
    </row>
    <row r="13" spans="1:33">
      <c r="A13" s="15">
        <f>'Input Information'!$D$10</f>
        <v>0</v>
      </c>
      <c r="B13" s="16"/>
      <c r="C13" s="16" t="s">
        <v>28</v>
      </c>
      <c r="D13" s="39" t="e">
        <f>((F13-G13)*5)+K13</f>
        <v>#N/A</v>
      </c>
      <c r="E13" s="39"/>
      <c r="F13" s="40" t="e">
        <f>VLOOKUP(A13,$Z$10:$AG$16,3,)</f>
        <v>#N/A</v>
      </c>
      <c r="G13" s="21">
        <f t="shared" si="7"/>
        <v>1</v>
      </c>
      <c r="H13" s="22">
        <f>IF(Introduction!C7="pounds per acre",('Input Information'!K10/2),'Input Information'!K10)</f>
        <v>0</v>
      </c>
      <c r="I13" s="22">
        <f>IF(Introduction!C8="Bray 1",H13,-8.08+0.832*H13)</f>
        <v>0</v>
      </c>
      <c r="J13" s="40" t="s">
        <v>34</v>
      </c>
      <c r="K13" s="41" t="e">
        <f>L13*M13</f>
        <v>#N/A</v>
      </c>
      <c r="L13" s="42">
        <f>'Input Information'!$F$10</f>
        <v>0</v>
      </c>
      <c r="M13" s="42" t="e">
        <f>VLOOKUP(A13,$Z$2:$AG$7,7,)</f>
        <v>#N/A</v>
      </c>
      <c r="N13" s="42"/>
      <c r="O13" s="16" t="s">
        <v>35</v>
      </c>
      <c r="P13" s="25" t="e">
        <f>K13-(K13*(G13-(F13+15))/10)</f>
        <v>#N/A</v>
      </c>
      <c r="Q13" s="25" t="e">
        <f>IF(P13&lt;0,"0",P13)</f>
        <v>#N/A</v>
      </c>
      <c r="R13" s="19" t="e">
        <f>VLOOKUP(A13,$Z$11:$AG$16,4,)</f>
        <v>#N/A</v>
      </c>
      <c r="Z13" t="s">
        <v>3</v>
      </c>
      <c r="AA13" t="s">
        <v>11</v>
      </c>
      <c r="AB13">
        <v>15</v>
      </c>
      <c r="AC13">
        <v>30</v>
      </c>
      <c r="AD13" s="2">
        <f t="shared" si="9"/>
        <v>75</v>
      </c>
      <c r="AE13" s="2">
        <f t="shared" si="10"/>
        <v>105</v>
      </c>
      <c r="AF13" s="4">
        <v>0.8</v>
      </c>
      <c r="AG13">
        <v>1.4</v>
      </c>
    </row>
    <row r="14" spans="1:33">
      <c r="C14" s="3" t="s">
        <v>42</v>
      </c>
      <c r="D14" s="30" t="s">
        <v>33</v>
      </c>
      <c r="E14" s="30"/>
      <c r="F14" s="1"/>
      <c r="G14" s="109"/>
      <c r="H14" s="31"/>
      <c r="I14" s="31"/>
      <c r="J14" s="30" t="s">
        <v>43</v>
      </c>
      <c r="K14" s="30" t="s">
        <v>33</v>
      </c>
      <c r="L14" s="1"/>
      <c r="M14" s="1"/>
      <c r="N14" s="1"/>
      <c r="P14" s="26"/>
      <c r="Q14" s="26"/>
      <c r="Z14" s="3" t="s">
        <v>38</v>
      </c>
      <c r="AA14" t="s">
        <v>11</v>
      </c>
      <c r="AB14">
        <v>25</v>
      </c>
      <c r="AC14">
        <v>40</v>
      </c>
      <c r="AD14" s="2">
        <f t="shared" si="9"/>
        <v>75</v>
      </c>
      <c r="AE14" s="2">
        <f t="shared" si="10"/>
        <v>105</v>
      </c>
      <c r="AF14" s="4">
        <v>0.63</v>
      </c>
      <c r="AG14">
        <v>0.37</v>
      </c>
    </row>
    <row r="15" spans="1:33">
      <c r="A15" s="7">
        <f>'Input Information'!$D$8</f>
        <v>0</v>
      </c>
      <c r="B15" s="8">
        <f>'Input Information'!$H$8</f>
        <v>0</v>
      </c>
      <c r="C15" s="8" t="s">
        <v>28</v>
      </c>
      <c r="D15" s="34" t="e">
        <f>((F15-G15)*((1+(0.05*B15)))+(K15))</f>
        <v>#N/A</v>
      </c>
      <c r="E15" s="23" t="e">
        <f>IF(OR(AND('Input Information'!D8="Alfalfa",G15&lt;=Calc!F15),AND('Input Information'!D8="Corn-Silage",G15&lt;=Calc!F15)),IF(D15&gt;300,"300",D15),D15)</f>
        <v>#N/A</v>
      </c>
      <c r="F15" s="32" t="e">
        <f>VLOOKUP(A15,$Z$10:$AG$16,5,)</f>
        <v>#N/A</v>
      </c>
      <c r="G15" s="12">
        <f>IF(Introduction!C7="pounds per acre",('Input Information'!L8/2),'Input Information'!L8)</f>
        <v>0</v>
      </c>
      <c r="H15" s="203"/>
      <c r="I15" s="203"/>
      <c r="J15" s="33" t="s">
        <v>34</v>
      </c>
      <c r="K15" s="34" t="e">
        <f>(L15*M15)+N15</f>
        <v>#N/A</v>
      </c>
      <c r="L15" s="35">
        <f>'Input Information'!$F$8</f>
        <v>0</v>
      </c>
      <c r="M15" s="35" t="e">
        <f>VLOOKUP(A15,$Z$11:$AG$16,8,)</f>
        <v>#N/A</v>
      </c>
      <c r="N15" s="5">
        <v>20</v>
      </c>
      <c r="O15" s="8" t="s">
        <v>35</v>
      </c>
      <c r="P15" s="27" t="e">
        <f>K15-(K15*(G15-(F15+30))/20)</f>
        <v>#N/A</v>
      </c>
      <c r="Q15" s="23" t="e">
        <f t="shared" ref="Q15:Q17" si="11">IF(P15&lt;0,"0",P15)</f>
        <v>#N/A</v>
      </c>
      <c r="R15" s="5" t="e">
        <f>VLOOKUP(A15,$Z$11:$AG$16,6,)</f>
        <v>#N/A</v>
      </c>
      <c r="S15" s="44" t="e">
        <f>K15-(K15*(G15-F15)/50)</f>
        <v>#N/A</v>
      </c>
      <c r="T15" s="51" t="e">
        <f>IF(S15&lt;0,"0",S15)</f>
        <v>#N/A</v>
      </c>
      <c r="U15" s="13"/>
      <c r="V15" s="13"/>
      <c r="W15" s="13"/>
      <c r="X15" s="13"/>
      <c r="Y15" s="13"/>
      <c r="Z15" s="3" t="s">
        <v>39</v>
      </c>
      <c r="AA15" t="s">
        <v>11</v>
      </c>
      <c r="AB15">
        <v>25</v>
      </c>
      <c r="AC15">
        <v>40</v>
      </c>
      <c r="AD15" s="2">
        <f t="shared" si="9"/>
        <v>75</v>
      </c>
      <c r="AE15" s="2">
        <f t="shared" si="10"/>
        <v>105</v>
      </c>
      <c r="AF15" s="4">
        <v>0.72</v>
      </c>
      <c r="AG15">
        <v>1.28</v>
      </c>
    </row>
    <row r="16" spans="1:33">
      <c r="A16" s="11">
        <f>'Input Information'!$D$9</f>
        <v>0</v>
      </c>
      <c r="B16" s="12">
        <f>'Input Information'!$H$8</f>
        <v>0</v>
      </c>
      <c r="C16" s="12" t="s">
        <v>28</v>
      </c>
      <c r="D16" s="38" t="e">
        <f>((F16-G16)*((1+(0.05*B16)))+(K16))</f>
        <v>#N/A</v>
      </c>
      <c r="E16" s="24" t="e">
        <f>IF(OR(AND('Input Information'!D9="Alfalfa",G16&lt;=Calc!F16),AND('Input Information'!D9="Corn-Silage",G16&lt;=Calc!F16)),IF(D16&gt;300,"300",D16),D16)</f>
        <v>#N/A</v>
      </c>
      <c r="F16" s="36" t="e">
        <f>VLOOKUP(A16,$Z$10:$AG$16,5,)</f>
        <v>#N/A</v>
      </c>
      <c r="G16" s="12">
        <f>IF(Introduction!C7="pounds per acre",('Input Information'!L9/2),'Input Information'!L9)</f>
        <v>0</v>
      </c>
      <c r="H16" s="203"/>
      <c r="I16" s="203"/>
      <c r="J16" s="37" t="s">
        <v>34</v>
      </c>
      <c r="K16" s="38" t="e">
        <f t="shared" ref="K16:K17" si="12">(L16*M16)+N16</f>
        <v>#N/A</v>
      </c>
      <c r="L16" s="31">
        <f>'Input Information'!$F$9</f>
        <v>0</v>
      </c>
      <c r="M16" s="31" t="e">
        <f>VLOOKUP(A16,$Z$11:$AG$16,8,)</f>
        <v>#N/A</v>
      </c>
      <c r="N16" s="6">
        <v>20</v>
      </c>
      <c r="O16" s="12" t="s">
        <v>35</v>
      </c>
      <c r="P16" s="28" t="e">
        <f>K16-((K16*(G16-(F16+30))/20))</f>
        <v>#N/A</v>
      </c>
      <c r="Q16" s="24" t="e">
        <f t="shared" si="11"/>
        <v>#N/A</v>
      </c>
      <c r="R16" s="6" t="e">
        <f>VLOOKUP(A16,$Z$11:$AG$16,6,)</f>
        <v>#N/A</v>
      </c>
      <c r="S16" s="45" t="e">
        <f>K16-(K16*(G16-F16)/50)</f>
        <v>#N/A</v>
      </c>
      <c r="T16" s="52" t="e">
        <f t="shared" ref="T16" si="13">IF(S16&lt;0,"0",S16)</f>
        <v>#N/A</v>
      </c>
      <c r="U16" s="13"/>
      <c r="V16" s="13"/>
      <c r="W16" s="13"/>
      <c r="X16" s="13"/>
      <c r="Y16" s="13"/>
      <c r="Z16" t="s">
        <v>4</v>
      </c>
      <c r="AA16" t="s">
        <v>12</v>
      </c>
      <c r="AB16">
        <v>25</v>
      </c>
      <c r="AC16">
        <v>40</v>
      </c>
      <c r="AD16" s="2">
        <f t="shared" si="9"/>
        <v>75</v>
      </c>
      <c r="AE16" s="2">
        <f t="shared" si="10"/>
        <v>105</v>
      </c>
      <c r="AF16" s="4">
        <v>13</v>
      </c>
      <c r="AG16">
        <v>50</v>
      </c>
    </row>
    <row r="17" spans="1:33">
      <c r="A17" s="15">
        <f>'Input Information'!$D$10</f>
        <v>0</v>
      </c>
      <c r="B17" s="16">
        <f>'Input Information'!$H$8</f>
        <v>0</v>
      </c>
      <c r="C17" s="16" t="s">
        <v>28</v>
      </c>
      <c r="D17" s="41" t="e">
        <f>((F17-G17)*((1+(0.05*B17)))+(K17))</f>
        <v>#N/A</v>
      </c>
      <c r="E17" s="25" t="e">
        <f>IF(OR(AND('Input Information'!D10="Alfalfa",G17&lt;=Calc!F17),AND('Input Information'!D10="Corn-Silage",G17&lt;=Calc!F17)),IF(D17&gt;300,"300",D17),D17)</f>
        <v>#N/A</v>
      </c>
      <c r="F17" s="39" t="e">
        <f>VLOOKUP(A17,$Z$10:$AG$16,5,)</f>
        <v>#N/A</v>
      </c>
      <c r="G17" s="16">
        <f>IF(Introduction!C7="pounds per acre",('Input Information'!L10/2),'Input Information'!L10)</f>
        <v>0</v>
      </c>
      <c r="H17" s="204"/>
      <c r="I17" s="204"/>
      <c r="J17" s="40" t="s">
        <v>34</v>
      </c>
      <c r="K17" s="41" t="e">
        <f t="shared" si="12"/>
        <v>#N/A</v>
      </c>
      <c r="L17" s="42">
        <f>'Input Information'!$F$10</f>
        <v>0</v>
      </c>
      <c r="M17" s="42" t="e">
        <f>VLOOKUP(A17,$Z$11:$AG$16,8,)</f>
        <v>#N/A</v>
      </c>
      <c r="N17" s="17">
        <v>20</v>
      </c>
      <c r="O17" s="16" t="s">
        <v>35</v>
      </c>
      <c r="P17" s="29" t="e">
        <f>K17-((K17*(G17-(F17+30))/20))</f>
        <v>#N/A</v>
      </c>
      <c r="Q17" s="25" t="e">
        <f t="shared" si="11"/>
        <v>#N/A</v>
      </c>
      <c r="R17" s="17" t="e">
        <f>VLOOKUP(A17,$Z$11:$AG$16,6,)</f>
        <v>#N/A</v>
      </c>
      <c r="S17" s="46" t="e">
        <f>K17-(K17*(G17-F17)/50)</f>
        <v>#N/A</v>
      </c>
      <c r="T17" s="53" t="e">
        <f>IF(S17&lt;0,"0",IF(S17&gt;300,"300",S17))</f>
        <v>#N/A</v>
      </c>
      <c r="U17" s="13"/>
      <c r="V17" s="13"/>
      <c r="W17" s="13"/>
      <c r="X17" s="13"/>
      <c r="Y17" s="13"/>
    </row>
    <row r="18" spans="1:33">
      <c r="A18" s="50" t="s">
        <v>54</v>
      </c>
    </row>
    <row r="19" spans="1:33">
      <c r="A19" s="3" t="s">
        <v>15</v>
      </c>
      <c r="B19" s="3" t="s">
        <v>6</v>
      </c>
      <c r="C19" s="3" t="s">
        <v>41</v>
      </c>
      <c r="D19" s="3" t="s">
        <v>33</v>
      </c>
      <c r="E19" s="3"/>
      <c r="F19" s="3" t="s">
        <v>24</v>
      </c>
      <c r="G19" s="16" t="s">
        <v>25</v>
      </c>
      <c r="H19" s="40" t="s">
        <v>114</v>
      </c>
      <c r="I19" s="40" t="s">
        <v>115</v>
      </c>
      <c r="J19" s="3" t="s">
        <v>31</v>
      </c>
      <c r="K19" s="3" t="s">
        <v>33</v>
      </c>
      <c r="L19" t="s">
        <v>26</v>
      </c>
      <c r="M19" t="s">
        <v>27</v>
      </c>
      <c r="P19" s="3" t="s">
        <v>33</v>
      </c>
      <c r="Q19" s="3" t="s">
        <v>33</v>
      </c>
      <c r="R19" s="3" t="s">
        <v>37</v>
      </c>
      <c r="AB19" t="s">
        <v>7</v>
      </c>
      <c r="AC19" s="3" t="s">
        <v>36</v>
      </c>
      <c r="AD19" t="s">
        <v>8</v>
      </c>
      <c r="AE19" s="3" t="s">
        <v>44</v>
      </c>
      <c r="AF19" t="s">
        <v>9</v>
      </c>
      <c r="AG19" t="s">
        <v>13</v>
      </c>
    </row>
    <row r="20" spans="1:33">
      <c r="A20" s="7">
        <f>'Input Information'!$D12</f>
        <v>0</v>
      </c>
      <c r="B20" s="8"/>
      <c r="C20" s="8" t="s">
        <v>28</v>
      </c>
      <c r="D20" s="32" t="e">
        <f>((F20-G20)*5)+K20</f>
        <v>#N/A</v>
      </c>
      <c r="E20" s="32"/>
      <c r="F20" s="33" t="e">
        <f>VLOOKUP(A20,$Z$19:$AG$25,3,)</f>
        <v>#N/A</v>
      </c>
      <c r="G20" s="21">
        <f t="shared" ref="G20:G22" si="14">IF(I20&lt;1,1,I20)</f>
        <v>1</v>
      </c>
      <c r="H20" s="21">
        <f>IF(Introduction!C7="pounds per acre",('Input Information'!K12/2),'Input Information'!K12)</f>
        <v>0</v>
      </c>
      <c r="I20" s="21">
        <f>IF(Introduction!C8="Bray 1",H20,-8.08+0.832*H20)</f>
        <v>0</v>
      </c>
      <c r="J20" s="33" t="s">
        <v>34</v>
      </c>
      <c r="K20" s="34" t="e">
        <f>L20*M20</f>
        <v>#N/A</v>
      </c>
      <c r="L20" s="35">
        <f>'Input Information'!$F$12</f>
        <v>0</v>
      </c>
      <c r="M20" s="35" t="e">
        <f>VLOOKUP(A20,$Z$2:$AG$7,7,)</f>
        <v>#N/A</v>
      </c>
      <c r="N20" s="35"/>
      <c r="O20" s="8" t="s">
        <v>35</v>
      </c>
      <c r="P20" s="23" t="e">
        <f>K20-(K20*(G20-(F20+15))/10)</f>
        <v>#N/A</v>
      </c>
      <c r="Q20" s="23" t="e">
        <f>IF(P20&lt;0,"0",P20)</f>
        <v>#N/A</v>
      </c>
      <c r="R20" s="10" t="e">
        <f>VLOOKUP(A20,$Z$20:$AG$25,4,)</f>
        <v>#N/A</v>
      </c>
      <c r="V20" s="47">
        <f>'Input Information'!J12</f>
        <v>0</v>
      </c>
      <c r="W20" s="48">
        <f>IF(-6.7553*V20+46.8098&lt;0.5,"0",-6.7553*V20+46.8098)</f>
        <v>46.809800000000003</v>
      </c>
      <c r="X20" s="48">
        <f>IF(-5.6399*V20+39.1496&lt;0.5,"0",-5.6399*V20+39.1496)</f>
        <v>39.1496</v>
      </c>
      <c r="Y20" s="49">
        <f>IF(-4.5721*V20+31.7602&lt;0.5,"0",-4.5721*V20+31.7602)</f>
        <v>31.760200000000001</v>
      </c>
      <c r="Z20" t="s">
        <v>2</v>
      </c>
      <c r="AA20" t="s">
        <v>11</v>
      </c>
      <c r="AB20">
        <v>15</v>
      </c>
      <c r="AC20">
        <v>30</v>
      </c>
      <c r="AD20" s="2">
        <f>75+(2.5*$B$24)</f>
        <v>75</v>
      </c>
      <c r="AE20" s="2">
        <f>AD20+30</f>
        <v>105</v>
      </c>
      <c r="AF20" s="4">
        <v>0.37</v>
      </c>
      <c r="AG20">
        <v>0.27</v>
      </c>
    </row>
    <row r="21" spans="1:33">
      <c r="A21" s="11">
        <f>'Input Information'!$D$13</f>
        <v>0</v>
      </c>
      <c r="B21" s="12"/>
      <c r="C21" s="12" t="s">
        <v>28</v>
      </c>
      <c r="D21" s="36" t="e">
        <f>((F21-G21)*5)+K21</f>
        <v>#N/A</v>
      </c>
      <c r="E21" s="36"/>
      <c r="F21" s="37" t="e">
        <f>VLOOKUP(A21,$Z$19:$AG$25,3,)</f>
        <v>#N/A</v>
      </c>
      <c r="G21" s="21">
        <f t="shared" si="14"/>
        <v>1</v>
      </c>
      <c r="H21" s="21">
        <f>IF(Introduction!C7="pounds per acre",('Input Information'!K13/2),'Input Information'!K13)</f>
        <v>0</v>
      </c>
      <c r="I21" s="21">
        <f>IF(Introduction!C8="Bray 1",H21,-8.08+0.832*H21)</f>
        <v>0</v>
      </c>
      <c r="J21" s="37" t="s">
        <v>34</v>
      </c>
      <c r="K21" s="38" t="e">
        <f>L21*M21</f>
        <v>#N/A</v>
      </c>
      <c r="L21" s="31">
        <f>'Input Information'!$F$13</f>
        <v>0</v>
      </c>
      <c r="M21" s="31" t="e">
        <f>VLOOKUP(A21,$Z$2:$AG$7,7,)</f>
        <v>#N/A</v>
      </c>
      <c r="N21" s="31"/>
      <c r="O21" s="12" t="s">
        <v>35</v>
      </c>
      <c r="P21" s="24" t="e">
        <f>K21-(K21*(G21-(F21+15))/10)</f>
        <v>#N/A</v>
      </c>
      <c r="Q21" s="24" t="e">
        <f t="shared" ref="Q21" si="15">IF(P21&lt;0,"0",P21)</f>
        <v>#N/A</v>
      </c>
      <c r="R21" s="14" t="e">
        <f>VLOOKUP(A21,$Z$20:$AG$25,4,)</f>
        <v>#N/A</v>
      </c>
      <c r="Z21" t="s">
        <v>10</v>
      </c>
      <c r="AA21" t="s">
        <v>12</v>
      </c>
      <c r="AB21">
        <v>15</v>
      </c>
      <c r="AC21">
        <v>30</v>
      </c>
      <c r="AD21" s="2">
        <f t="shared" ref="AD21:AD25" si="16">75+(2.5*$B$24)</f>
        <v>75</v>
      </c>
      <c r="AE21" s="2">
        <f t="shared" ref="AE21:AE25" si="17">AD21+30</f>
        <v>105</v>
      </c>
      <c r="AF21" s="4">
        <v>3.3</v>
      </c>
      <c r="AG21">
        <v>8</v>
      </c>
    </row>
    <row r="22" spans="1:33">
      <c r="A22" s="15">
        <f>'Input Information'!$D$14</f>
        <v>0</v>
      </c>
      <c r="B22" s="16"/>
      <c r="C22" s="16" t="s">
        <v>28</v>
      </c>
      <c r="D22" s="39" t="e">
        <f>((F22-G22)*5)+K22</f>
        <v>#N/A</v>
      </c>
      <c r="E22" s="39"/>
      <c r="F22" s="40" t="e">
        <f>VLOOKUP(A22,$Z$19:$AG$25,3,)</f>
        <v>#N/A</v>
      </c>
      <c r="G22" s="21">
        <f t="shared" si="14"/>
        <v>1</v>
      </c>
      <c r="H22" s="22">
        <f>IF(Introduction!C7="pounds per acre",('Input Information'!K14/2),'Input Information'!K14)</f>
        <v>0</v>
      </c>
      <c r="I22" s="22">
        <f>IF(Introduction!C8="Bray 1",H22,-8.08+0.832*H22)</f>
        <v>0</v>
      </c>
      <c r="J22" s="40" t="s">
        <v>34</v>
      </c>
      <c r="K22" s="41" t="e">
        <f>L22*M22</f>
        <v>#N/A</v>
      </c>
      <c r="L22" s="42">
        <f>'Input Information'!$F$14</f>
        <v>0</v>
      </c>
      <c r="M22" s="42" t="e">
        <f>VLOOKUP(A22,$Z$2:$AG$7,7,)</f>
        <v>#N/A</v>
      </c>
      <c r="N22" s="42"/>
      <c r="O22" s="16" t="s">
        <v>35</v>
      </c>
      <c r="P22" s="25" t="e">
        <f>K22-(K22*(G22-(F22+15))/10)</f>
        <v>#N/A</v>
      </c>
      <c r="Q22" s="25" t="e">
        <f>IF(P22&lt;0,"0",P22)</f>
        <v>#N/A</v>
      </c>
      <c r="R22" s="19" t="e">
        <f>VLOOKUP(A22,$Z$20:$AG$25,4,)</f>
        <v>#N/A</v>
      </c>
      <c r="Z22" t="s">
        <v>3</v>
      </c>
      <c r="AA22" t="s">
        <v>11</v>
      </c>
      <c r="AB22">
        <v>15</v>
      </c>
      <c r="AC22">
        <v>30</v>
      </c>
      <c r="AD22" s="2">
        <f t="shared" si="16"/>
        <v>75</v>
      </c>
      <c r="AE22" s="2">
        <f t="shared" si="17"/>
        <v>105</v>
      </c>
      <c r="AF22" s="4">
        <v>0.8</v>
      </c>
      <c r="AG22">
        <v>1.4</v>
      </c>
    </row>
    <row r="23" spans="1:33">
      <c r="C23" s="3" t="s">
        <v>42</v>
      </c>
      <c r="D23" s="30" t="s">
        <v>33</v>
      </c>
      <c r="E23" s="30"/>
      <c r="F23" s="1"/>
      <c r="G23" s="109"/>
      <c r="H23" s="31"/>
      <c r="I23" s="31"/>
      <c r="J23" s="30" t="s">
        <v>43</v>
      </c>
      <c r="K23" s="30" t="s">
        <v>33</v>
      </c>
      <c r="L23" s="1"/>
      <c r="M23" s="1"/>
      <c r="N23" s="1"/>
      <c r="P23" s="26"/>
      <c r="Q23" s="26"/>
      <c r="Z23" s="3" t="s">
        <v>38</v>
      </c>
      <c r="AA23" t="s">
        <v>11</v>
      </c>
      <c r="AB23">
        <v>25</v>
      </c>
      <c r="AC23">
        <v>40</v>
      </c>
      <c r="AD23" s="2">
        <f t="shared" si="16"/>
        <v>75</v>
      </c>
      <c r="AE23" s="2">
        <f t="shared" si="17"/>
        <v>105</v>
      </c>
      <c r="AF23" s="4">
        <v>0.63</v>
      </c>
      <c r="AG23">
        <v>0.37</v>
      </c>
    </row>
    <row r="24" spans="1:33">
      <c r="A24" s="7">
        <f>'Input Information'!$D$12</f>
        <v>0</v>
      </c>
      <c r="B24" s="8">
        <f>'Input Information'!$H$12</f>
        <v>0</v>
      </c>
      <c r="C24" s="8" t="s">
        <v>28</v>
      </c>
      <c r="D24" s="34" t="e">
        <f>((F24-G24)*((1+(0.05*B24)))+(K24))</f>
        <v>#N/A</v>
      </c>
      <c r="E24" s="23" t="e">
        <f>IF(OR(AND('Input Information'!D12="Alfalfa",G24&lt;=Calc!F24),AND('Input Information'!D12="Corn-Silage",G24&lt;=Calc!F24)),IF(D24&gt;300,"300",D24),D24)</f>
        <v>#N/A</v>
      </c>
      <c r="F24" s="32" t="e">
        <f>VLOOKUP(A24,$Z$19:$AG$25,5,)</f>
        <v>#N/A</v>
      </c>
      <c r="G24" s="12">
        <f>IF(Introduction!C7="pounds per acre",('Input Information'!L12/2),'Input Information'!L12)</f>
        <v>0</v>
      </c>
      <c r="H24" s="203"/>
      <c r="I24" s="203"/>
      <c r="J24" s="33" t="s">
        <v>34</v>
      </c>
      <c r="K24" s="34" t="e">
        <f>(L24*M24)+N24</f>
        <v>#N/A</v>
      </c>
      <c r="L24" s="35">
        <f>'Input Information'!$F$12</f>
        <v>0</v>
      </c>
      <c r="M24" s="35" t="e">
        <f>VLOOKUP(A24,$Z$2:$AG$7,8,)</f>
        <v>#N/A</v>
      </c>
      <c r="N24" s="5">
        <v>20</v>
      </c>
      <c r="O24" s="8" t="s">
        <v>35</v>
      </c>
      <c r="P24" s="27" t="e">
        <f>K24-(K24*(G24-(F24+30))/20)</f>
        <v>#N/A</v>
      </c>
      <c r="Q24" s="23" t="e">
        <f t="shared" ref="Q24:Q26" si="18">IF(P24&lt;0,"0",P24)</f>
        <v>#N/A</v>
      </c>
      <c r="R24" s="5" t="e">
        <f>VLOOKUP(A24,$Z$20:$AG$25,6,)</f>
        <v>#N/A</v>
      </c>
      <c r="S24" s="44" t="e">
        <f>K24-(K24*(G24-F24)/50)</f>
        <v>#N/A</v>
      </c>
      <c r="T24" s="51" t="e">
        <f>IF(S24&lt;0,"0",S24)</f>
        <v>#N/A</v>
      </c>
      <c r="U24" s="13"/>
      <c r="V24" s="13"/>
      <c r="W24" s="13"/>
      <c r="X24" s="13"/>
      <c r="Y24" s="13"/>
      <c r="Z24" s="3" t="s">
        <v>39</v>
      </c>
      <c r="AA24" t="s">
        <v>11</v>
      </c>
      <c r="AB24">
        <v>25</v>
      </c>
      <c r="AC24">
        <v>40</v>
      </c>
      <c r="AD24" s="2">
        <f t="shared" si="16"/>
        <v>75</v>
      </c>
      <c r="AE24" s="2">
        <f t="shared" si="17"/>
        <v>105</v>
      </c>
      <c r="AF24" s="4">
        <v>0.72</v>
      </c>
      <c r="AG24">
        <v>1.28</v>
      </c>
    </row>
    <row r="25" spans="1:33">
      <c r="A25" s="11">
        <f>'Input Information'!$D$13</f>
        <v>0</v>
      </c>
      <c r="B25" s="12">
        <f>'Input Information'!$H$12</f>
        <v>0</v>
      </c>
      <c r="C25" s="12" t="s">
        <v>28</v>
      </c>
      <c r="D25" s="38" t="e">
        <f>((F25-G25)*((1+(0.05*B25)))+(K25))</f>
        <v>#N/A</v>
      </c>
      <c r="E25" s="24" t="e">
        <f>IF(OR(AND('Input Information'!D13="Alfalfa",G25&lt;=Calc!F25),AND('Input Information'!D13="Corn-Silage",G25&lt;=Calc!F25)),IF(D25&gt;300,"300",D25),D25)</f>
        <v>#N/A</v>
      </c>
      <c r="F25" s="36" t="e">
        <f t="shared" ref="F25:F26" si="19">VLOOKUP(A25,$Z$19:$AG$25,5,)</f>
        <v>#N/A</v>
      </c>
      <c r="G25" s="12">
        <f>IF(Introduction!C7="pounds per acre",('Input Information'!L13/2),'Input Information'!L13)</f>
        <v>0</v>
      </c>
      <c r="H25" s="203"/>
      <c r="I25" s="203"/>
      <c r="J25" s="37" t="s">
        <v>34</v>
      </c>
      <c r="K25" s="38" t="e">
        <f t="shared" ref="K25:K26" si="20">(L25*M25)+N25</f>
        <v>#N/A</v>
      </c>
      <c r="L25" s="31">
        <f>'Input Information'!$F$13</f>
        <v>0</v>
      </c>
      <c r="M25" s="31" t="e">
        <f>VLOOKUP(A25,$Z$2:$AG$7,8,)</f>
        <v>#N/A</v>
      </c>
      <c r="N25" s="6">
        <v>20</v>
      </c>
      <c r="O25" s="12" t="s">
        <v>35</v>
      </c>
      <c r="P25" s="28" t="e">
        <f>K25-((K25*(G25-(F25+30))/20))</f>
        <v>#N/A</v>
      </c>
      <c r="Q25" s="24" t="e">
        <f t="shared" si="18"/>
        <v>#N/A</v>
      </c>
      <c r="R25" s="6" t="e">
        <f>VLOOKUP(A25,$Z$20:$AG$25,6,)</f>
        <v>#N/A</v>
      </c>
      <c r="S25" s="45" t="e">
        <f>K25-(K25*(G25-F25)/50)</f>
        <v>#N/A</v>
      </c>
      <c r="T25" s="52" t="e">
        <f t="shared" ref="T25" si="21">IF(S25&lt;0,"0",S25)</f>
        <v>#N/A</v>
      </c>
      <c r="U25" s="13"/>
      <c r="V25" s="13"/>
      <c r="W25" s="13"/>
      <c r="X25" s="13"/>
      <c r="Y25" s="13"/>
      <c r="Z25" t="s">
        <v>4</v>
      </c>
      <c r="AA25" t="s">
        <v>12</v>
      </c>
      <c r="AB25">
        <v>25</v>
      </c>
      <c r="AC25">
        <v>40</v>
      </c>
      <c r="AD25" s="2">
        <f t="shared" si="16"/>
        <v>75</v>
      </c>
      <c r="AE25" s="2">
        <f t="shared" si="17"/>
        <v>105</v>
      </c>
      <c r="AF25" s="4">
        <v>13</v>
      </c>
      <c r="AG25">
        <v>50</v>
      </c>
    </row>
    <row r="26" spans="1:33">
      <c r="A26" s="15">
        <f>'Input Information'!$D$14</f>
        <v>0</v>
      </c>
      <c r="B26" s="16">
        <f>'Input Information'!$H$12</f>
        <v>0</v>
      </c>
      <c r="C26" s="16" t="s">
        <v>28</v>
      </c>
      <c r="D26" s="41" t="e">
        <f>((F26-G26)*((1+(0.05*B26)))+(K26))</f>
        <v>#N/A</v>
      </c>
      <c r="E26" s="25" t="e">
        <f>IF(OR(AND('Input Information'!D14="Alfalfa",G26&lt;=Calc!F26),AND('Input Information'!D14="Corn-Silage",G26&lt;=Calc!F26)),IF(D26&gt;300,"300",D26),D26)</f>
        <v>#N/A</v>
      </c>
      <c r="F26" s="39" t="e">
        <f t="shared" si="19"/>
        <v>#N/A</v>
      </c>
      <c r="G26" s="16">
        <f>IF(Introduction!C7="pounds per acre",('Input Information'!L14/2),'Input Information'!L14)</f>
        <v>0</v>
      </c>
      <c r="H26" s="204"/>
      <c r="I26" s="204"/>
      <c r="J26" s="40" t="s">
        <v>34</v>
      </c>
      <c r="K26" s="41" t="e">
        <f t="shared" si="20"/>
        <v>#N/A</v>
      </c>
      <c r="L26" s="42">
        <f>'Input Information'!$F$14</f>
        <v>0</v>
      </c>
      <c r="M26" s="42" t="e">
        <f>VLOOKUP(A26,$Z$2:$AG$7,8,)</f>
        <v>#N/A</v>
      </c>
      <c r="N26" s="17">
        <v>20</v>
      </c>
      <c r="O26" s="16" t="s">
        <v>35</v>
      </c>
      <c r="P26" s="29" t="e">
        <f>K26-((K26*(G26-(F26+30))/20))</f>
        <v>#N/A</v>
      </c>
      <c r="Q26" s="25" t="e">
        <f t="shared" si="18"/>
        <v>#N/A</v>
      </c>
      <c r="R26" s="17" t="e">
        <f>VLOOKUP(A26,$Z$20:$AG$25,6,)</f>
        <v>#N/A</v>
      </c>
      <c r="S26" s="46" t="e">
        <f>K26-(K26*(G26-F26)/50)</f>
        <v>#N/A</v>
      </c>
      <c r="T26" s="53" t="e">
        <f>IF(S26&lt;0,"0",IF(S26&gt;300,"300",S26))</f>
        <v>#N/A</v>
      </c>
      <c r="U26" s="13"/>
      <c r="V26" s="13"/>
      <c r="W26" s="13"/>
      <c r="X26" s="13"/>
      <c r="Y26" s="13"/>
    </row>
    <row r="27" spans="1:33">
      <c r="A27" s="50" t="s">
        <v>55</v>
      </c>
    </row>
    <row r="28" spans="1:33">
      <c r="A28" s="3" t="s">
        <v>15</v>
      </c>
      <c r="B28" s="3" t="s">
        <v>6</v>
      </c>
      <c r="C28" s="3" t="s">
        <v>41</v>
      </c>
      <c r="D28" s="3" t="s">
        <v>33</v>
      </c>
      <c r="E28" s="3"/>
      <c r="F28" s="3" t="s">
        <v>24</v>
      </c>
      <c r="G28" s="16" t="s">
        <v>25</v>
      </c>
      <c r="H28" s="40" t="s">
        <v>114</v>
      </c>
      <c r="I28" s="40" t="s">
        <v>115</v>
      </c>
      <c r="J28" s="3" t="s">
        <v>31</v>
      </c>
      <c r="K28" s="3" t="s">
        <v>33</v>
      </c>
      <c r="L28" t="s">
        <v>26</v>
      </c>
      <c r="M28" t="s">
        <v>27</v>
      </c>
      <c r="P28" s="3" t="s">
        <v>33</v>
      </c>
      <c r="Q28" s="3" t="s">
        <v>33</v>
      </c>
      <c r="R28" s="3" t="s">
        <v>37</v>
      </c>
      <c r="AB28" t="s">
        <v>7</v>
      </c>
      <c r="AC28" s="3" t="s">
        <v>36</v>
      </c>
      <c r="AD28" t="s">
        <v>8</v>
      </c>
      <c r="AE28" s="3" t="s">
        <v>44</v>
      </c>
      <c r="AF28" t="s">
        <v>9</v>
      </c>
      <c r="AG28" t="s">
        <v>13</v>
      </c>
    </row>
    <row r="29" spans="1:33">
      <c r="A29" s="7">
        <f>'Input Information'!$D$16</f>
        <v>0</v>
      </c>
      <c r="B29" s="8"/>
      <c r="C29" s="8" t="s">
        <v>28</v>
      </c>
      <c r="D29" s="32" t="e">
        <f>((F29-G29)*5)+K29</f>
        <v>#N/A</v>
      </c>
      <c r="E29" s="32"/>
      <c r="F29" s="33" t="e">
        <f>VLOOKUP(A29,$Z$28:$AG$34,3,)</f>
        <v>#N/A</v>
      </c>
      <c r="G29" s="21">
        <f t="shared" ref="G29:G31" si="22">IF(I29&lt;1,1,I29)</f>
        <v>1</v>
      </c>
      <c r="H29" s="21">
        <f>IF(Introduction!C7="pounds per acre",('Input Information'!K16/2),'Input Information'!K16)</f>
        <v>0</v>
      </c>
      <c r="I29" s="21">
        <f>IF(Introduction!C8="Bray 1",H29,-8.08+0.832*H29)</f>
        <v>0</v>
      </c>
      <c r="J29" s="33" t="s">
        <v>34</v>
      </c>
      <c r="K29" s="34" t="e">
        <f>L29*M29</f>
        <v>#N/A</v>
      </c>
      <c r="L29" s="35">
        <f>'Input Information'!$F$16</f>
        <v>0</v>
      </c>
      <c r="M29" s="35" t="e">
        <f>VLOOKUP(A29,$Z$29:$AG$34,7,)</f>
        <v>#N/A</v>
      </c>
      <c r="N29" s="35"/>
      <c r="O29" s="8" t="s">
        <v>35</v>
      </c>
      <c r="P29" s="23" t="e">
        <f>K29-(K29*(G29-(F29+15))/10)</f>
        <v>#N/A</v>
      </c>
      <c r="Q29" s="23" t="e">
        <f>IF(P29&lt;0,"0",P29)</f>
        <v>#N/A</v>
      </c>
      <c r="R29" s="10" t="e">
        <f>VLOOKUP(A29,$Z$29:$AG$34,4,)</f>
        <v>#N/A</v>
      </c>
      <c r="V29" s="47">
        <f>'Input Information'!J16</f>
        <v>0</v>
      </c>
      <c r="W29" s="48">
        <f>IF(-6.7553*V29+46.8098&lt;0.5,"0",-6.7553*V29+46.8098)</f>
        <v>46.809800000000003</v>
      </c>
      <c r="X29" s="48">
        <f>IF(-5.6399*V29+39.1496&lt;0.5,"0",-5.6399*V29+39.1496)</f>
        <v>39.1496</v>
      </c>
      <c r="Y29" s="49">
        <f>IF(-4.5721*V29+31.7602&lt;0.5,"0",-4.5721*V29+31.7602)</f>
        <v>31.760200000000001</v>
      </c>
      <c r="Z29" t="s">
        <v>2</v>
      </c>
      <c r="AA29" t="s">
        <v>11</v>
      </c>
      <c r="AB29">
        <v>15</v>
      </c>
      <c r="AC29">
        <v>30</v>
      </c>
      <c r="AD29" s="2">
        <f>75+(2.5*$B$33)</f>
        <v>75</v>
      </c>
      <c r="AE29" s="2">
        <f>AD29+30</f>
        <v>105</v>
      </c>
      <c r="AF29" s="4">
        <v>0.37</v>
      </c>
      <c r="AG29">
        <v>0.27</v>
      </c>
    </row>
    <row r="30" spans="1:33">
      <c r="A30" s="11">
        <f>'Input Information'!$D$17</f>
        <v>0</v>
      </c>
      <c r="B30" s="12"/>
      <c r="C30" s="12" t="s">
        <v>28</v>
      </c>
      <c r="D30" s="36" t="e">
        <f>((F30-G30)*5)+K30</f>
        <v>#N/A</v>
      </c>
      <c r="E30" s="36"/>
      <c r="F30" s="37" t="e">
        <f>VLOOKUP(A30,$Z$28:$AG$34,3,)</f>
        <v>#N/A</v>
      </c>
      <c r="G30" s="21">
        <f t="shared" si="22"/>
        <v>1</v>
      </c>
      <c r="H30" s="21">
        <f>IF(Introduction!C7="pounds per acre",('Input Information'!K17/2),'Input Information'!K17)</f>
        <v>0</v>
      </c>
      <c r="I30" s="21">
        <f>IF(Introduction!C8="Bray 1",H30,-8.08+0.832*H30)</f>
        <v>0</v>
      </c>
      <c r="J30" s="37" t="s">
        <v>34</v>
      </c>
      <c r="K30" s="38" t="e">
        <f>L30*M30</f>
        <v>#N/A</v>
      </c>
      <c r="L30" s="31">
        <f>'Input Information'!$F$17</f>
        <v>0</v>
      </c>
      <c r="M30" s="31" t="e">
        <f>VLOOKUP(A30,$Z$29:$AG$34,7,)</f>
        <v>#N/A</v>
      </c>
      <c r="N30" s="31"/>
      <c r="O30" s="12" t="s">
        <v>35</v>
      </c>
      <c r="P30" s="24" t="e">
        <f>K30-(K30*(G30-(F30+15))/10)</f>
        <v>#N/A</v>
      </c>
      <c r="Q30" s="24" t="e">
        <f t="shared" ref="Q30" si="23">IF(P30&lt;0,"0",P30)</f>
        <v>#N/A</v>
      </c>
      <c r="R30" s="14" t="e">
        <f>VLOOKUP(A30,$Z$29:$AG$34,4,)</f>
        <v>#N/A</v>
      </c>
      <c r="Z30" t="s">
        <v>10</v>
      </c>
      <c r="AA30" t="s">
        <v>12</v>
      </c>
      <c r="AB30">
        <v>15</v>
      </c>
      <c r="AC30">
        <v>30</v>
      </c>
      <c r="AD30" s="2">
        <f t="shared" ref="AD30:AD34" si="24">75+(2.5*$B$33)</f>
        <v>75</v>
      </c>
      <c r="AE30" s="2">
        <f t="shared" ref="AE30:AE34" si="25">AD30+30</f>
        <v>105</v>
      </c>
      <c r="AF30" s="4">
        <v>3.3</v>
      </c>
      <c r="AG30">
        <v>8</v>
      </c>
    </row>
    <row r="31" spans="1:33">
      <c r="A31" s="15">
        <f>'Input Information'!$D$18</f>
        <v>0</v>
      </c>
      <c r="B31" s="16"/>
      <c r="C31" s="16" t="s">
        <v>28</v>
      </c>
      <c r="D31" s="39" t="e">
        <f>((F31-G31)*5)+K31</f>
        <v>#N/A</v>
      </c>
      <c r="E31" s="39"/>
      <c r="F31" s="40" t="e">
        <f>VLOOKUP(A31,$Z$28:$AG$34,3,)</f>
        <v>#N/A</v>
      </c>
      <c r="G31" s="21">
        <f t="shared" si="22"/>
        <v>1</v>
      </c>
      <c r="H31" s="22">
        <f>IF(Introduction!C7="pounds per acre",('Input Information'!K18/2),'Input Information'!K18)</f>
        <v>0</v>
      </c>
      <c r="I31" s="22">
        <f>IF(Introduction!C8="Bray 1",H31,-8.08+0.832*H31)</f>
        <v>0</v>
      </c>
      <c r="J31" s="40" t="s">
        <v>34</v>
      </c>
      <c r="K31" s="41" t="e">
        <f>L31*M31</f>
        <v>#N/A</v>
      </c>
      <c r="L31" s="42">
        <f>'Input Information'!$F$18</f>
        <v>0</v>
      </c>
      <c r="M31" s="42" t="e">
        <f>VLOOKUP(A31,$Z$29:$AG$34,7,)</f>
        <v>#N/A</v>
      </c>
      <c r="N31" s="42"/>
      <c r="O31" s="16" t="s">
        <v>35</v>
      </c>
      <c r="P31" s="25" t="e">
        <f>K31-(K31*(G31-(F31+15))/10)</f>
        <v>#N/A</v>
      </c>
      <c r="Q31" s="25" t="e">
        <f>IF(P31&lt;0,"0",P31)</f>
        <v>#N/A</v>
      </c>
      <c r="R31" s="19" t="e">
        <f>VLOOKUP(A31,$Z$29:$AG$34,4,)</f>
        <v>#N/A</v>
      </c>
      <c r="Z31" t="s">
        <v>3</v>
      </c>
      <c r="AA31" t="s">
        <v>11</v>
      </c>
      <c r="AB31">
        <v>15</v>
      </c>
      <c r="AC31">
        <v>30</v>
      </c>
      <c r="AD31" s="2">
        <f t="shared" si="24"/>
        <v>75</v>
      </c>
      <c r="AE31" s="2">
        <f t="shared" si="25"/>
        <v>105</v>
      </c>
      <c r="AF31" s="4">
        <v>0.8</v>
      </c>
      <c r="AG31">
        <v>1.4</v>
      </c>
    </row>
    <row r="32" spans="1:33">
      <c r="C32" s="3" t="s">
        <v>42</v>
      </c>
      <c r="D32" s="30" t="s">
        <v>33</v>
      </c>
      <c r="E32" s="110"/>
      <c r="F32" s="1"/>
      <c r="G32" s="109"/>
      <c r="H32" s="109"/>
      <c r="I32" s="109"/>
      <c r="J32" s="30" t="s">
        <v>43</v>
      </c>
      <c r="K32" s="30" t="s">
        <v>33</v>
      </c>
      <c r="L32" s="1"/>
      <c r="M32" s="1"/>
      <c r="N32" s="1"/>
      <c r="P32" s="26"/>
      <c r="Q32" s="26"/>
      <c r="Z32" s="3" t="s">
        <v>38</v>
      </c>
      <c r="AA32" t="s">
        <v>11</v>
      </c>
      <c r="AB32">
        <v>25</v>
      </c>
      <c r="AC32">
        <v>40</v>
      </c>
      <c r="AD32" s="2">
        <f t="shared" si="24"/>
        <v>75</v>
      </c>
      <c r="AE32" s="2">
        <f t="shared" si="25"/>
        <v>105</v>
      </c>
      <c r="AF32" s="4">
        <v>0.63</v>
      </c>
      <c r="AG32">
        <v>0.37</v>
      </c>
    </row>
    <row r="33" spans="1:33">
      <c r="A33" s="7">
        <f>'Input Information'!$D$16</f>
        <v>0</v>
      </c>
      <c r="B33" s="8">
        <f>'Input Information'!$H$16</f>
        <v>0</v>
      </c>
      <c r="C33" s="8" t="s">
        <v>28</v>
      </c>
      <c r="D33" s="34" t="e">
        <f>((F33-G33)*((1+(0.05*B33)))+(K33))</f>
        <v>#N/A</v>
      </c>
      <c r="E33" s="24" t="e">
        <f>IF(OR(AND('Input Information'!D16="Alfalfa",G33&lt;=Calc!F33),AND('Input Information'!D16="Corn-Silage",G33&lt;=Calc!F33)),IF(D33&gt;300,"300",D33),D33)</f>
        <v>#N/A</v>
      </c>
      <c r="F33" s="32" t="e">
        <f>VLOOKUP(A33,$Z$28:$AG$34,5,)</f>
        <v>#N/A</v>
      </c>
      <c r="G33" s="12">
        <f>IF(Introduction!C7="pounds per acre",('Input Information'!L16/2),'Input Information'!L16)</f>
        <v>0</v>
      </c>
      <c r="H33" s="203"/>
      <c r="I33" s="203"/>
      <c r="J33" s="33" t="s">
        <v>34</v>
      </c>
      <c r="K33" s="34" t="e">
        <f>(L33*M33)+N33</f>
        <v>#N/A</v>
      </c>
      <c r="L33" s="35">
        <f>'Input Information'!$F$16</f>
        <v>0</v>
      </c>
      <c r="M33" s="35" t="e">
        <f>VLOOKUP(A33,$Z$29:$AG$34,8,)</f>
        <v>#N/A</v>
      </c>
      <c r="N33" s="5">
        <v>20</v>
      </c>
      <c r="O33" s="8" t="s">
        <v>35</v>
      </c>
      <c r="P33" s="27" t="e">
        <f>K33-(K33*(G33-(F33+30))/20)</f>
        <v>#N/A</v>
      </c>
      <c r="Q33" s="23" t="e">
        <f t="shared" ref="Q33:Q35" si="26">IF(P33&lt;0,"0",P33)</f>
        <v>#N/A</v>
      </c>
      <c r="R33" s="5" t="e">
        <f>VLOOKUP(A33,$Z$29:$AG$34,6,)</f>
        <v>#N/A</v>
      </c>
      <c r="S33" s="44" t="e">
        <f>K33-(K33*(G33-F33)/50)</f>
        <v>#N/A</v>
      </c>
      <c r="T33" s="51" t="e">
        <f>IF(S33&lt;0,"0",S33)</f>
        <v>#N/A</v>
      </c>
      <c r="U33" s="13"/>
      <c r="V33" s="13"/>
      <c r="W33" s="13"/>
      <c r="X33" s="13"/>
      <c r="Y33" s="13"/>
      <c r="Z33" s="3" t="s">
        <v>39</v>
      </c>
      <c r="AA33" t="s">
        <v>11</v>
      </c>
      <c r="AB33">
        <v>25</v>
      </c>
      <c r="AC33">
        <v>40</v>
      </c>
      <c r="AD33" s="2">
        <f t="shared" si="24"/>
        <v>75</v>
      </c>
      <c r="AE33" s="2">
        <f t="shared" si="25"/>
        <v>105</v>
      </c>
      <c r="AF33" s="4">
        <v>0.72</v>
      </c>
      <c r="AG33">
        <v>1.28</v>
      </c>
    </row>
    <row r="34" spans="1:33">
      <c r="A34" s="11">
        <f>'Input Information'!$D$17</f>
        <v>0</v>
      </c>
      <c r="B34" s="12">
        <f>'Input Information'!$H$16</f>
        <v>0</v>
      </c>
      <c r="C34" s="12" t="s">
        <v>28</v>
      </c>
      <c r="D34" s="38" t="e">
        <f>((F34-G34)*((1+(0.05*B34)))+(K34))</f>
        <v>#N/A</v>
      </c>
      <c r="E34" s="24" t="e">
        <f>IF(OR(AND('Input Information'!D22="Alfalfa",G34&lt;=Calc!F34),AND('Input Information'!D22="Corn-Silage",G34&lt;=Calc!F34)),IF(D34&gt;300,"300",D34),D34)</f>
        <v>#N/A</v>
      </c>
      <c r="F34" s="36" t="e">
        <f>VLOOKUP(A34,$Z$28:$AG$34,5,)</f>
        <v>#N/A</v>
      </c>
      <c r="G34" s="12">
        <f>IF(Introduction!C7="pounds per acre",('Input Information'!L17/2),'Input Information'!L17)</f>
        <v>0</v>
      </c>
      <c r="H34" s="203"/>
      <c r="I34" s="203"/>
      <c r="J34" s="37" t="s">
        <v>34</v>
      </c>
      <c r="K34" s="38" t="e">
        <f t="shared" ref="K34:K35" si="27">(L34*M34)+N34</f>
        <v>#N/A</v>
      </c>
      <c r="L34" s="31">
        <f>'Input Information'!$F$17</f>
        <v>0</v>
      </c>
      <c r="M34" s="31" t="e">
        <f>VLOOKUP(A34,$Z$29:$AG$34,8,)</f>
        <v>#N/A</v>
      </c>
      <c r="N34" s="6">
        <v>20</v>
      </c>
      <c r="O34" s="12" t="s">
        <v>35</v>
      </c>
      <c r="P34" s="28" t="e">
        <f>K34-((K34*(G34-(F34+30))/20))</f>
        <v>#N/A</v>
      </c>
      <c r="Q34" s="24" t="e">
        <f t="shared" si="26"/>
        <v>#N/A</v>
      </c>
      <c r="R34" s="6" t="e">
        <f>VLOOKUP(A34,$Z$29:$AG$34,6,)</f>
        <v>#N/A</v>
      </c>
      <c r="S34" s="45" t="e">
        <f>K34-(K34*(G34-F34)/50)</f>
        <v>#N/A</v>
      </c>
      <c r="T34" s="52" t="e">
        <f t="shared" ref="T34" si="28">IF(S34&lt;0,"0",S34)</f>
        <v>#N/A</v>
      </c>
      <c r="U34" s="13"/>
      <c r="V34" s="13"/>
      <c r="W34" s="13"/>
      <c r="X34" s="13"/>
      <c r="Y34" s="13"/>
      <c r="Z34" t="s">
        <v>4</v>
      </c>
      <c r="AA34" t="s">
        <v>12</v>
      </c>
      <c r="AB34">
        <v>25</v>
      </c>
      <c r="AC34">
        <v>40</v>
      </c>
      <c r="AD34" s="2">
        <f t="shared" si="24"/>
        <v>75</v>
      </c>
      <c r="AE34" s="2">
        <f t="shared" si="25"/>
        <v>105</v>
      </c>
      <c r="AF34" s="4">
        <v>13</v>
      </c>
      <c r="AG34">
        <v>50</v>
      </c>
    </row>
    <row r="35" spans="1:33">
      <c r="A35" s="15">
        <f>'Input Information'!$D$18</f>
        <v>0</v>
      </c>
      <c r="B35" s="16">
        <f>'Input Information'!$H$16</f>
        <v>0</v>
      </c>
      <c r="C35" s="16" t="s">
        <v>28</v>
      </c>
      <c r="D35" s="41" t="e">
        <f>((F35-G35)*((1+(0.05*B35)))+(K35))</f>
        <v>#N/A</v>
      </c>
      <c r="E35" s="25" t="e">
        <f>IF(OR(AND('Input Information'!D18="Alfalfa",G35&lt;=Calc!F35),AND('Input Information'!D18="Corn-Silage",G35&lt;=Calc!F35)),IF(D35&gt;300,"300",D35),D35)</f>
        <v>#N/A</v>
      </c>
      <c r="F35" s="39" t="e">
        <f>VLOOKUP(A35,$Z$28:$AG$34,5,)</f>
        <v>#N/A</v>
      </c>
      <c r="G35" s="16">
        <f>IF(Introduction!C7="pounds per acre",('Input Information'!L18/2),'Input Information'!L18)</f>
        <v>0</v>
      </c>
      <c r="H35" s="204"/>
      <c r="I35" s="204"/>
      <c r="J35" s="40" t="s">
        <v>34</v>
      </c>
      <c r="K35" s="41" t="e">
        <f t="shared" si="27"/>
        <v>#N/A</v>
      </c>
      <c r="L35" s="42">
        <f>'Input Information'!$F$18</f>
        <v>0</v>
      </c>
      <c r="M35" s="42" t="e">
        <f>VLOOKUP(A35,$Z$29:$AG$34,8,)</f>
        <v>#N/A</v>
      </c>
      <c r="N35" s="17">
        <v>20</v>
      </c>
      <c r="O35" s="16" t="s">
        <v>35</v>
      </c>
      <c r="P35" s="29" t="e">
        <f>K35-((K35*(G35-(F35+30))/20))</f>
        <v>#N/A</v>
      </c>
      <c r="Q35" s="25" t="e">
        <f t="shared" si="26"/>
        <v>#N/A</v>
      </c>
      <c r="R35" s="17" t="e">
        <f>VLOOKUP(A35,$Z$29:$AG$34,6,)</f>
        <v>#N/A</v>
      </c>
      <c r="S35" s="46" t="e">
        <f>K35-(K35*(G35-F35)/50)</f>
        <v>#N/A</v>
      </c>
      <c r="T35" s="53" t="e">
        <f>IF(S35&lt;0,"0",IF(S35&gt;300,"300",S35))</f>
        <v>#N/A</v>
      </c>
      <c r="U35" s="13"/>
      <c r="V35" s="13"/>
      <c r="W35" s="13"/>
      <c r="X35" s="13"/>
      <c r="Y35" s="13"/>
    </row>
    <row r="36" spans="1:33">
      <c r="A36" s="50" t="s">
        <v>56</v>
      </c>
    </row>
    <row r="37" spans="1:33">
      <c r="A37" s="3" t="s">
        <v>15</v>
      </c>
      <c r="B37" s="3" t="s">
        <v>6</v>
      </c>
      <c r="C37" s="3" t="s">
        <v>41</v>
      </c>
      <c r="D37" s="3" t="s">
        <v>33</v>
      </c>
      <c r="E37" s="3"/>
      <c r="F37" s="3" t="s">
        <v>24</v>
      </c>
      <c r="G37" s="16" t="s">
        <v>25</v>
      </c>
      <c r="H37" s="40" t="s">
        <v>114</v>
      </c>
      <c r="I37" s="40" t="s">
        <v>115</v>
      </c>
      <c r="J37" s="3" t="s">
        <v>31</v>
      </c>
      <c r="K37" s="3" t="s">
        <v>33</v>
      </c>
      <c r="L37" t="s">
        <v>26</v>
      </c>
      <c r="M37" t="s">
        <v>27</v>
      </c>
      <c r="P37" s="3" t="s">
        <v>33</v>
      </c>
      <c r="Q37" s="3" t="s">
        <v>33</v>
      </c>
      <c r="R37" s="3" t="s">
        <v>37</v>
      </c>
      <c r="AB37" t="s">
        <v>7</v>
      </c>
      <c r="AC37" s="3" t="s">
        <v>36</v>
      </c>
      <c r="AD37" t="s">
        <v>8</v>
      </c>
      <c r="AE37" s="3" t="s">
        <v>44</v>
      </c>
      <c r="AF37" t="s">
        <v>9</v>
      </c>
      <c r="AG37" t="s">
        <v>13</v>
      </c>
    </row>
    <row r="38" spans="1:33">
      <c r="A38" s="7">
        <f>'Input Information'!$D$20</f>
        <v>0</v>
      </c>
      <c r="B38" s="8"/>
      <c r="C38" s="8" t="s">
        <v>28</v>
      </c>
      <c r="D38" s="32" t="e">
        <f>((F38-G38)*5)+K38</f>
        <v>#N/A</v>
      </c>
      <c r="E38" s="32"/>
      <c r="F38" s="33" t="e">
        <f>VLOOKUP(A38,$Z$37:$AG$43,3,)</f>
        <v>#N/A</v>
      </c>
      <c r="G38" s="21">
        <f t="shared" ref="G38:G40" si="29">IF(I38&lt;1,1,I38)</f>
        <v>1</v>
      </c>
      <c r="H38" s="21">
        <f>IF(Introduction!C7="pounds per acre",('Input Information'!K20/2),'Input Information'!K20)</f>
        <v>0</v>
      </c>
      <c r="I38" s="21">
        <f>IF(Introduction!C8="Bray 1",H38,-8.08+0.832*H38)</f>
        <v>0</v>
      </c>
      <c r="J38" s="33" t="s">
        <v>34</v>
      </c>
      <c r="K38" s="34" t="e">
        <f>L38*M38</f>
        <v>#N/A</v>
      </c>
      <c r="L38" s="35">
        <f>'Input Information'!$F$20</f>
        <v>0</v>
      </c>
      <c r="M38" s="35" t="e">
        <f>VLOOKUP(A38,$Z$2:$AG$7,7,)</f>
        <v>#N/A</v>
      </c>
      <c r="N38" s="35"/>
      <c r="O38" s="8" t="s">
        <v>35</v>
      </c>
      <c r="P38" s="23" t="e">
        <f>K38-(K38*(G38-(F38+15))/10)</f>
        <v>#N/A</v>
      </c>
      <c r="Q38" s="23" t="e">
        <f>IF(P38&lt;0,"0",P38)</f>
        <v>#N/A</v>
      </c>
      <c r="R38" s="10" t="e">
        <f>VLOOKUP(A38,$Z$38:$AG$43,4,)</f>
        <v>#N/A</v>
      </c>
      <c r="V38" s="47">
        <f>'Input Information'!J20</f>
        <v>0</v>
      </c>
      <c r="W38" s="48">
        <f>IF(-6.7553*V38+46.8098&lt;0.5,"0",-6.7553*V38+46.8098)</f>
        <v>46.809800000000003</v>
      </c>
      <c r="X38" s="48">
        <f>IF(-5.6399*V38+39.1496&lt;0.5,"0",-5.6399*V38+39.1496)</f>
        <v>39.1496</v>
      </c>
      <c r="Y38" s="49">
        <f>IF(-4.5721*V38+31.7602&lt;0.5,"0",-4.5721*V38+31.7602)</f>
        <v>31.760200000000001</v>
      </c>
      <c r="Z38" t="s">
        <v>2</v>
      </c>
      <c r="AA38" t="s">
        <v>11</v>
      </c>
      <c r="AB38">
        <v>15</v>
      </c>
      <c r="AC38">
        <v>30</v>
      </c>
      <c r="AD38" s="2">
        <f>75+(2.5*$B$42)</f>
        <v>75</v>
      </c>
      <c r="AE38" s="2">
        <f>AD38+30</f>
        <v>105</v>
      </c>
      <c r="AF38" s="4">
        <v>0.37</v>
      </c>
      <c r="AG38">
        <v>0.27</v>
      </c>
    </row>
    <row r="39" spans="1:33">
      <c r="A39" s="11">
        <f>'Input Information'!$D$21</f>
        <v>0</v>
      </c>
      <c r="B39" s="12"/>
      <c r="C39" s="12" t="s">
        <v>28</v>
      </c>
      <c r="D39" s="36" t="e">
        <f>((F39-G39)*5)+K39</f>
        <v>#N/A</v>
      </c>
      <c r="E39" s="36"/>
      <c r="F39" s="37" t="e">
        <f>VLOOKUP(A39,$Z$37:$AG$43,3,)</f>
        <v>#N/A</v>
      </c>
      <c r="G39" s="21">
        <f t="shared" si="29"/>
        <v>1</v>
      </c>
      <c r="H39" s="21">
        <f>IF(Introduction!C7="pounds per acre",('Input Information'!K21/2),'Input Information'!K21)</f>
        <v>0</v>
      </c>
      <c r="I39" s="21">
        <f>IF(Introduction!C8="Bray 1",H39,-8.08+0.832*H39)</f>
        <v>0</v>
      </c>
      <c r="J39" s="37" t="s">
        <v>34</v>
      </c>
      <c r="K39" s="38" t="e">
        <f>L39*M39</f>
        <v>#N/A</v>
      </c>
      <c r="L39" s="31">
        <f>'Input Information'!$F$21</f>
        <v>0</v>
      </c>
      <c r="M39" s="31" t="e">
        <f>VLOOKUP(A39,$Z$2:$AG$7,7,)</f>
        <v>#N/A</v>
      </c>
      <c r="N39" s="31"/>
      <c r="O39" s="12" t="s">
        <v>35</v>
      </c>
      <c r="P39" s="24" t="e">
        <f>K39-(K39*(G39-(F39+15))/10)</f>
        <v>#N/A</v>
      </c>
      <c r="Q39" s="24" t="e">
        <f t="shared" ref="Q39" si="30">IF(P39&lt;0,"0",P39)</f>
        <v>#N/A</v>
      </c>
      <c r="R39" s="14" t="e">
        <f>VLOOKUP(A39,$Z$38:$AG$43,4,)</f>
        <v>#N/A</v>
      </c>
      <c r="Z39" t="s">
        <v>10</v>
      </c>
      <c r="AA39" t="s">
        <v>12</v>
      </c>
      <c r="AB39">
        <v>15</v>
      </c>
      <c r="AC39">
        <v>30</v>
      </c>
      <c r="AD39" s="2">
        <f t="shared" ref="AD39:AD43" si="31">75+(2.5*$B$42)</f>
        <v>75</v>
      </c>
      <c r="AE39" s="2">
        <f t="shared" ref="AE39:AE43" si="32">AD39+30</f>
        <v>105</v>
      </c>
      <c r="AF39" s="4">
        <v>3.3</v>
      </c>
      <c r="AG39">
        <v>8</v>
      </c>
    </row>
    <row r="40" spans="1:33">
      <c r="A40" s="15">
        <f>'Input Information'!$D$22</f>
        <v>0</v>
      </c>
      <c r="B40" s="16"/>
      <c r="C40" s="16" t="s">
        <v>28</v>
      </c>
      <c r="D40" s="39" t="e">
        <f>((F40-G40)*5)+K40</f>
        <v>#N/A</v>
      </c>
      <c r="E40" s="39"/>
      <c r="F40" s="40" t="e">
        <f>VLOOKUP(A40,$Z$37:$AG$43,3,)</f>
        <v>#N/A</v>
      </c>
      <c r="G40" s="21">
        <f t="shared" si="29"/>
        <v>1</v>
      </c>
      <c r="H40" s="22">
        <f>IF(Introduction!C7="pounds per acre",('Input Information'!K22/2),'Input Information'!K22)</f>
        <v>0</v>
      </c>
      <c r="I40" s="22">
        <f>IF(Introduction!C8="Bray 1",H40,-8.08+0.832*H40)</f>
        <v>0</v>
      </c>
      <c r="J40" s="40" t="s">
        <v>34</v>
      </c>
      <c r="K40" s="41" t="e">
        <f>L40*M40</f>
        <v>#N/A</v>
      </c>
      <c r="L40" s="42">
        <f>'Input Information'!$F$22</f>
        <v>0</v>
      </c>
      <c r="M40" s="42" t="e">
        <f>VLOOKUP(A40,$Z$2:$AG$7,7,)</f>
        <v>#N/A</v>
      </c>
      <c r="N40" s="42"/>
      <c r="O40" s="16" t="s">
        <v>35</v>
      </c>
      <c r="P40" s="25" t="e">
        <f>K40-(K40*(G40-(F40+15))/10)</f>
        <v>#N/A</v>
      </c>
      <c r="Q40" s="25" t="e">
        <f>IF(P40&lt;0,"0",P40)</f>
        <v>#N/A</v>
      </c>
      <c r="R40" s="19" t="e">
        <f>VLOOKUP(A40,$Z$38:$AG$43,4,)</f>
        <v>#N/A</v>
      </c>
      <c r="Z40" t="s">
        <v>3</v>
      </c>
      <c r="AA40" t="s">
        <v>11</v>
      </c>
      <c r="AB40">
        <v>15</v>
      </c>
      <c r="AC40">
        <v>30</v>
      </c>
      <c r="AD40" s="2">
        <f t="shared" si="31"/>
        <v>75</v>
      </c>
      <c r="AE40" s="2">
        <f t="shared" si="32"/>
        <v>105</v>
      </c>
      <c r="AF40" s="4">
        <v>0.8</v>
      </c>
      <c r="AG40">
        <v>1.4</v>
      </c>
    </row>
    <row r="41" spans="1:33">
      <c r="C41" s="3" t="s">
        <v>42</v>
      </c>
      <c r="D41" s="30" t="s">
        <v>33</v>
      </c>
      <c r="E41" s="110"/>
      <c r="F41" s="1"/>
      <c r="G41" s="109"/>
      <c r="H41" s="31"/>
      <c r="I41" s="31"/>
      <c r="J41" s="30" t="s">
        <v>43</v>
      </c>
      <c r="K41" s="30" t="s">
        <v>33</v>
      </c>
      <c r="L41" s="1"/>
      <c r="M41" s="1"/>
      <c r="N41" s="1"/>
      <c r="P41" s="26"/>
      <c r="Q41" s="26"/>
      <c r="Z41" s="3" t="s">
        <v>38</v>
      </c>
      <c r="AA41" t="s">
        <v>11</v>
      </c>
      <c r="AB41">
        <v>25</v>
      </c>
      <c r="AC41">
        <v>40</v>
      </c>
      <c r="AD41" s="2">
        <f t="shared" si="31"/>
        <v>75</v>
      </c>
      <c r="AE41" s="2">
        <f t="shared" si="32"/>
        <v>105</v>
      </c>
      <c r="AF41" s="4">
        <v>0.63</v>
      </c>
      <c r="AG41">
        <v>0.37</v>
      </c>
    </row>
    <row r="42" spans="1:33">
      <c r="A42" s="7">
        <f>'Input Information'!$D$20</f>
        <v>0</v>
      </c>
      <c r="B42" s="8">
        <f>'Input Information'!$H$20</f>
        <v>0</v>
      </c>
      <c r="C42" s="8" t="s">
        <v>28</v>
      </c>
      <c r="D42" s="34" t="e">
        <f>((F42-G42)*((1+(0.05*B42)))+(K42))</f>
        <v>#N/A</v>
      </c>
      <c r="E42" s="24" t="e">
        <f>IF(OR(AND('Input Information'!D20="Alfalfa",G42&lt;=Calc!F42),AND('Input Information'!D20="Corn-Silage",G42&lt;=Calc!F42)),IF(D42&gt;300,"300",D42),D42)</f>
        <v>#N/A</v>
      </c>
      <c r="F42" s="32" t="e">
        <f>VLOOKUP(A42,$Z$37:$AG$43,5,)</f>
        <v>#N/A</v>
      </c>
      <c r="G42" s="12">
        <f>IF(Introduction!C7="pounds per acre",('Input Information'!L20/2),'Input Information'!L20)</f>
        <v>0</v>
      </c>
      <c r="H42" s="203"/>
      <c r="I42" s="203"/>
      <c r="J42" s="33" t="s">
        <v>34</v>
      </c>
      <c r="K42" s="34" t="e">
        <f>(L42*M42)+N42</f>
        <v>#N/A</v>
      </c>
      <c r="L42" s="35">
        <f>'Input Information'!$F$20</f>
        <v>0</v>
      </c>
      <c r="M42" s="35" t="e">
        <f>VLOOKUP(A42,$Z$38:$AG$43,8,)</f>
        <v>#N/A</v>
      </c>
      <c r="N42" s="5">
        <v>20</v>
      </c>
      <c r="O42" s="8" t="s">
        <v>35</v>
      </c>
      <c r="P42" s="27" t="e">
        <f>K42-(K42*(G42-(F42+30))/20)</f>
        <v>#N/A</v>
      </c>
      <c r="Q42" s="23" t="e">
        <f t="shared" ref="Q42:Q44" si="33">IF(P42&lt;0,"0",P42)</f>
        <v>#N/A</v>
      </c>
      <c r="R42" s="5" t="e">
        <f>VLOOKUP(A42,$Z$38:$AG$43,6,)</f>
        <v>#N/A</v>
      </c>
      <c r="S42" s="44" t="e">
        <f>K42-(K42*(G42-F42)/50)</f>
        <v>#N/A</v>
      </c>
      <c r="T42" s="51" t="e">
        <f>IF(S42&lt;0,"0",S42)</f>
        <v>#N/A</v>
      </c>
      <c r="U42" s="13"/>
      <c r="V42" s="13"/>
      <c r="W42" s="13"/>
      <c r="X42" s="13"/>
      <c r="Y42" s="13"/>
      <c r="Z42" s="3" t="s">
        <v>39</v>
      </c>
      <c r="AA42" t="s">
        <v>11</v>
      </c>
      <c r="AB42">
        <v>25</v>
      </c>
      <c r="AC42">
        <v>40</v>
      </c>
      <c r="AD42" s="2">
        <f t="shared" si="31"/>
        <v>75</v>
      </c>
      <c r="AE42" s="2">
        <f t="shared" si="32"/>
        <v>105</v>
      </c>
      <c r="AF42" s="4">
        <v>0.72</v>
      </c>
      <c r="AG42">
        <v>1.28</v>
      </c>
    </row>
    <row r="43" spans="1:33">
      <c r="A43" s="11">
        <f>'Input Information'!$D$21</f>
        <v>0</v>
      </c>
      <c r="B43" s="12">
        <f>'Input Information'!$H$20</f>
        <v>0</v>
      </c>
      <c r="C43" s="12" t="s">
        <v>28</v>
      </c>
      <c r="D43" s="38" t="e">
        <f>((F43-G43)*((1+(0.05*B43)))+(K43))</f>
        <v>#N/A</v>
      </c>
      <c r="E43" s="24" t="e">
        <f>IF(OR(AND('Input Information'!D21="Alfalfa",G43&lt;=Calc!F43),AND('Input Information'!D21="Corn-Silage",G43&lt;=Calc!F43)),IF(D43&gt;300,"300",D43),D43)</f>
        <v>#N/A</v>
      </c>
      <c r="F43" s="36" t="e">
        <f>VLOOKUP(A43,$Z$37:$AG$43,5,)</f>
        <v>#N/A</v>
      </c>
      <c r="G43" s="12">
        <f>IF(Introduction!C7="pounds per acre",('Input Information'!L21/2),'Input Information'!L21)</f>
        <v>0</v>
      </c>
      <c r="H43" s="203"/>
      <c r="I43" s="203"/>
      <c r="J43" s="37" t="s">
        <v>34</v>
      </c>
      <c r="K43" s="38" t="e">
        <f t="shared" ref="K43:K44" si="34">(L43*M43)+N43</f>
        <v>#N/A</v>
      </c>
      <c r="L43" s="31">
        <f>'Input Information'!$F$21</f>
        <v>0</v>
      </c>
      <c r="M43" s="31" t="e">
        <f>VLOOKUP(A43,$Z$38:$AG$43,8,)</f>
        <v>#N/A</v>
      </c>
      <c r="N43" s="6">
        <v>20</v>
      </c>
      <c r="O43" s="12" t="s">
        <v>35</v>
      </c>
      <c r="P43" s="28" t="e">
        <f>K43-((K43*(G43-(F43+30))/20))</f>
        <v>#N/A</v>
      </c>
      <c r="Q43" s="24" t="e">
        <f t="shared" si="33"/>
        <v>#N/A</v>
      </c>
      <c r="R43" s="6" t="e">
        <f>VLOOKUP(A43,$Z$38:$AG$43,6,)</f>
        <v>#N/A</v>
      </c>
      <c r="S43" s="45" t="e">
        <f>K43-(K43*(G43-F43)/50)</f>
        <v>#N/A</v>
      </c>
      <c r="T43" s="52" t="e">
        <f t="shared" ref="T43" si="35">IF(S43&lt;0,"0",S43)</f>
        <v>#N/A</v>
      </c>
      <c r="U43" s="13"/>
      <c r="V43" s="13"/>
      <c r="W43" s="13"/>
      <c r="X43" s="13"/>
      <c r="Y43" s="13"/>
      <c r="Z43" t="s">
        <v>4</v>
      </c>
      <c r="AA43" t="s">
        <v>12</v>
      </c>
      <c r="AB43">
        <v>25</v>
      </c>
      <c r="AC43">
        <v>40</v>
      </c>
      <c r="AD43" s="2">
        <f t="shared" si="31"/>
        <v>75</v>
      </c>
      <c r="AE43" s="2">
        <f t="shared" si="32"/>
        <v>105</v>
      </c>
      <c r="AF43" s="4">
        <v>13</v>
      </c>
      <c r="AG43">
        <v>50</v>
      </c>
    </row>
    <row r="44" spans="1:33">
      <c r="A44" s="15">
        <f>'Input Information'!$D$22</f>
        <v>0</v>
      </c>
      <c r="B44" s="16">
        <f>'Input Information'!$H$20</f>
        <v>0</v>
      </c>
      <c r="C44" s="16" t="s">
        <v>28</v>
      </c>
      <c r="D44" s="41" t="e">
        <f>((F44-G44)*((1+(0.05*B44)))+(K44))</f>
        <v>#N/A</v>
      </c>
      <c r="E44" s="25" t="e">
        <f>IF(OR(AND('Input Information'!D22="Alfalfa",G44&lt;=Calc!F44),AND('Input Information'!D22="Corn-Silage",G44&lt;=Calc!F44)),IF(D44&gt;300,"300",D44),D44)</f>
        <v>#N/A</v>
      </c>
      <c r="F44" s="39" t="e">
        <f>VLOOKUP(A44,$Z$37:$AG$43,5,)</f>
        <v>#N/A</v>
      </c>
      <c r="G44" s="16">
        <f>IF(Introduction!C7="pounds per acre",('Input Information'!L22/2),'Input Information'!L22)</f>
        <v>0</v>
      </c>
      <c r="H44" s="204"/>
      <c r="I44" s="204"/>
      <c r="J44" s="40" t="s">
        <v>34</v>
      </c>
      <c r="K44" s="41" t="e">
        <f t="shared" si="34"/>
        <v>#N/A</v>
      </c>
      <c r="L44" s="42">
        <f>'Input Information'!$F$22</f>
        <v>0</v>
      </c>
      <c r="M44" s="42" t="e">
        <f>VLOOKUP(A44,$Z$38:$AG$43,8,)</f>
        <v>#N/A</v>
      </c>
      <c r="N44" s="17">
        <v>20</v>
      </c>
      <c r="O44" s="16" t="s">
        <v>35</v>
      </c>
      <c r="P44" s="29" t="e">
        <f>K44-((K44*(G44-(F44+30))/20))</f>
        <v>#N/A</v>
      </c>
      <c r="Q44" s="25" t="e">
        <f t="shared" si="33"/>
        <v>#N/A</v>
      </c>
      <c r="R44" s="17" t="e">
        <f>VLOOKUP(A44,$Z$38:$AG$43,6,)</f>
        <v>#N/A</v>
      </c>
      <c r="S44" s="46" t="e">
        <f>K44-(K44*(G44-F44)/50)</f>
        <v>#N/A</v>
      </c>
      <c r="T44" s="53" t="e">
        <f>IF(S44&lt;0,"0",IF(S44&gt;300,"300",S44))</f>
        <v>#N/A</v>
      </c>
      <c r="U44" s="13"/>
      <c r="V44" s="13"/>
      <c r="W44" s="13"/>
      <c r="X44" s="13"/>
      <c r="Y44" s="13"/>
    </row>
    <row r="45" spans="1:33">
      <c r="A45" s="50" t="s">
        <v>57</v>
      </c>
    </row>
    <row r="46" spans="1:33">
      <c r="A46" s="3" t="s">
        <v>15</v>
      </c>
      <c r="B46" s="3" t="s">
        <v>6</v>
      </c>
      <c r="C46" s="3" t="s">
        <v>41</v>
      </c>
      <c r="D46" s="3" t="s">
        <v>33</v>
      </c>
      <c r="E46" s="3"/>
      <c r="F46" s="3" t="s">
        <v>24</v>
      </c>
      <c r="G46" s="16" t="s">
        <v>25</v>
      </c>
      <c r="H46" s="40" t="s">
        <v>114</v>
      </c>
      <c r="I46" s="40" t="s">
        <v>115</v>
      </c>
      <c r="J46" s="3" t="s">
        <v>31</v>
      </c>
      <c r="K46" s="3" t="s">
        <v>33</v>
      </c>
      <c r="L46" t="s">
        <v>26</v>
      </c>
      <c r="M46" t="s">
        <v>27</v>
      </c>
      <c r="P46" s="3" t="s">
        <v>33</v>
      </c>
      <c r="Q46" s="3" t="s">
        <v>33</v>
      </c>
      <c r="R46" s="3" t="s">
        <v>37</v>
      </c>
      <c r="AB46" t="s">
        <v>7</v>
      </c>
      <c r="AC46" s="3" t="s">
        <v>36</v>
      </c>
      <c r="AD46" t="s">
        <v>8</v>
      </c>
      <c r="AE46" s="3" t="s">
        <v>44</v>
      </c>
      <c r="AF46" t="s">
        <v>9</v>
      </c>
      <c r="AG46" t="s">
        <v>13</v>
      </c>
    </row>
    <row r="47" spans="1:33">
      <c r="A47" s="7">
        <f>'Input Information'!$D$24</f>
        <v>0</v>
      </c>
      <c r="B47" s="8"/>
      <c r="C47" s="8" t="s">
        <v>28</v>
      </c>
      <c r="D47" s="32" t="e">
        <f>((F47-G47)*5)+K47</f>
        <v>#N/A</v>
      </c>
      <c r="E47" s="32"/>
      <c r="F47" s="33" t="e">
        <f>VLOOKUP(A47,$Z$46:$AG$52,3,)</f>
        <v>#N/A</v>
      </c>
      <c r="G47" s="21">
        <f t="shared" ref="G47:G49" si="36">IF(I47&lt;1,1,I47)</f>
        <v>1</v>
      </c>
      <c r="H47" s="21">
        <f>IF(Introduction!C7="pounds per acre",('Input Information'!K24/2),'Input Information'!K24)</f>
        <v>0</v>
      </c>
      <c r="I47" s="21">
        <f>IF(Introduction!C8="Bray 1",H47,-8.08+0.832*H47)</f>
        <v>0</v>
      </c>
      <c r="J47" s="33" t="s">
        <v>34</v>
      </c>
      <c r="K47" s="34" t="e">
        <f>L47*M47</f>
        <v>#N/A</v>
      </c>
      <c r="L47" s="35">
        <f>'Input Information'!$F$24</f>
        <v>0</v>
      </c>
      <c r="M47" s="35" t="e">
        <f>VLOOKUP(A47,$Z$47:$AG$52,7,)</f>
        <v>#N/A</v>
      </c>
      <c r="N47" s="35"/>
      <c r="O47" s="8" t="s">
        <v>35</v>
      </c>
      <c r="P47" s="23" t="e">
        <f>K47-(K47*(G47-(F47+15))/10)</f>
        <v>#N/A</v>
      </c>
      <c r="Q47" s="23" t="e">
        <f>IF(P47&lt;0,"0",P47)</f>
        <v>#N/A</v>
      </c>
      <c r="R47" s="10" t="e">
        <f>VLOOKUP(A47,$Z$47:$AG$52,4,)</f>
        <v>#N/A</v>
      </c>
      <c r="V47" s="47">
        <f>'Input Information'!J24</f>
        <v>0</v>
      </c>
      <c r="W47" s="48">
        <f>IF(-6.7553*V47+46.8098&lt;0.5,"0",-6.7553*V47+46.8098)</f>
        <v>46.809800000000003</v>
      </c>
      <c r="X47" s="48">
        <f>IF(-5.6399*V47+39.1496&lt;0.5,"0",-5.6399*V47+39.1496)</f>
        <v>39.1496</v>
      </c>
      <c r="Y47" s="49">
        <f>IF(-4.5721*V47+31.7602&lt;0.5,"0",-4.5721*V47+31.7602)</f>
        <v>31.760200000000001</v>
      </c>
      <c r="Z47" t="s">
        <v>2</v>
      </c>
      <c r="AA47" t="s">
        <v>11</v>
      </c>
      <c r="AB47">
        <v>15</v>
      </c>
      <c r="AC47">
        <v>30</v>
      </c>
      <c r="AD47" s="2">
        <f>75+(2.5*$B$51)</f>
        <v>75</v>
      </c>
      <c r="AE47" s="2">
        <f>AD47+30</f>
        <v>105</v>
      </c>
      <c r="AF47" s="4">
        <v>0.37</v>
      </c>
      <c r="AG47">
        <v>0.27</v>
      </c>
    </row>
    <row r="48" spans="1:33">
      <c r="A48" s="11">
        <f>'Input Information'!$D$25</f>
        <v>0</v>
      </c>
      <c r="B48" s="12"/>
      <c r="C48" s="12" t="s">
        <v>28</v>
      </c>
      <c r="D48" s="36" t="e">
        <f>((F48-G48)*5)+K48</f>
        <v>#N/A</v>
      </c>
      <c r="E48" s="36"/>
      <c r="F48" s="37" t="e">
        <f>VLOOKUP(A48,$Z$46:$AG$52,3,)</f>
        <v>#N/A</v>
      </c>
      <c r="G48" s="21">
        <f t="shared" si="36"/>
        <v>1</v>
      </c>
      <c r="H48" s="21">
        <f>IF(Introduction!C7="pounds per acre",('Input Information'!K25/2),'Input Information'!K25)</f>
        <v>0</v>
      </c>
      <c r="I48" s="21">
        <f>IF(Introduction!C8="Bray 1",H48,-8.08+0.832*H48)</f>
        <v>0</v>
      </c>
      <c r="J48" s="37" t="s">
        <v>34</v>
      </c>
      <c r="K48" s="38" t="e">
        <f>L48*M48</f>
        <v>#N/A</v>
      </c>
      <c r="L48" s="31">
        <f>'Input Information'!$F$25</f>
        <v>0</v>
      </c>
      <c r="M48" s="31" t="e">
        <f>VLOOKUP(A48,$Z$47:$AG$52,7,)</f>
        <v>#N/A</v>
      </c>
      <c r="N48" s="31"/>
      <c r="O48" s="12" t="s">
        <v>35</v>
      </c>
      <c r="P48" s="24" t="e">
        <f>K48-(K48*(G48-(F48+15))/10)</f>
        <v>#N/A</v>
      </c>
      <c r="Q48" s="24" t="e">
        <f t="shared" ref="Q48" si="37">IF(P48&lt;0,"0",P48)</f>
        <v>#N/A</v>
      </c>
      <c r="R48" s="14" t="e">
        <f>VLOOKUP(A48,$Z$47:$AG$52,4,)</f>
        <v>#N/A</v>
      </c>
      <c r="Z48" t="s">
        <v>10</v>
      </c>
      <c r="AA48" t="s">
        <v>12</v>
      </c>
      <c r="AB48">
        <v>15</v>
      </c>
      <c r="AC48">
        <v>30</v>
      </c>
      <c r="AD48" s="2">
        <f t="shared" ref="AD48:AD52" si="38">75+(2.5*$B$51)</f>
        <v>75</v>
      </c>
      <c r="AE48" s="2">
        <f t="shared" ref="AE48:AE52" si="39">AD48+30</f>
        <v>105</v>
      </c>
      <c r="AF48" s="4">
        <v>3.3</v>
      </c>
      <c r="AG48">
        <v>8</v>
      </c>
    </row>
    <row r="49" spans="1:33">
      <c r="A49" s="15">
        <f>'Input Information'!$D$26</f>
        <v>0</v>
      </c>
      <c r="B49" s="16"/>
      <c r="C49" s="16" t="s">
        <v>28</v>
      </c>
      <c r="D49" s="39" t="e">
        <f>((F49-G49)*5)+K49</f>
        <v>#N/A</v>
      </c>
      <c r="E49" s="39"/>
      <c r="F49" s="40" t="e">
        <f>VLOOKUP(A49,$Z$46:$AG$52,3,)</f>
        <v>#N/A</v>
      </c>
      <c r="G49" s="21">
        <f t="shared" si="36"/>
        <v>1</v>
      </c>
      <c r="H49" s="22">
        <f>IF(Introduction!C7="pounds per acre",('Input Information'!K26/2),'Input Information'!K26)</f>
        <v>0</v>
      </c>
      <c r="I49" s="22">
        <f>IF(Introduction!C8="Bray 1",H49,-8.08+0.832*H49)</f>
        <v>0</v>
      </c>
      <c r="J49" s="40" t="s">
        <v>34</v>
      </c>
      <c r="K49" s="41" t="e">
        <f>L49*M49</f>
        <v>#N/A</v>
      </c>
      <c r="L49" s="42">
        <f>'Input Information'!$F$26</f>
        <v>0</v>
      </c>
      <c r="M49" s="42" t="e">
        <f>VLOOKUP(A49,$Z$47:$AG$52,7,)</f>
        <v>#N/A</v>
      </c>
      <c r="N49" s="42"/>
      <c r="O49" s="16" t="s">
        <v>35</v>
      </c>
      <c r="P49" s="25" t="e">
        <f>K49-(K49*(G49-(F49+15))/10)</f>
        <v>#N/A</v>
      </c>
      <c r="Q49" s="25" t="e">
        <f>IF(P49&lt;0,"0",P49)</f>
        <v>#N/A</v>
      </c>
      <c r="R49" s="19" t="e">
        <f>VLOOKUP(A49,$Z$47:$AG$52,4,)</f>
        <v>#N/A</v>
      </c>
      <c r="Z49" t="s">
        <v>3</v>
      </c>
      <c r="AA49" t="s">
        <v>11</v>
      </c>
      <c r="AB49">
        <v>15</v>
      </c>
      <c r="AC49">
        <v>30</v>
      </c>
      <c r="AD49" s="2">
        <f t="shared" si="38"/>
        <v>75</v>
      </c>
      <c r="AE49" s="2">
        <f t="shared" si="39"/>
        <v>105</v>
      </c>
      <c r="AF49" s="4">
        <v>0.8</v>
      </c>
      <c r="AG49">
        <v>1.4</v>
      </c>
    </row>
    <row r="50" spans="1:33">
      <c r="C50" s="3" t="s">
        <v>42</v>
      </c>
      <c r="D50" s="30" t="s">
        <v>33</v>
      </c>
      <c r="E50" s="110"/>
      <c r="F50" s="1"/>
      <c r="G50" s="109"/>
      <c r="H50" s="31"/>
      <c r="I50" s="31"/>
      <c r="J50" s="30" t="s">
        <v>43</v>
      </c>
      <c r="K50" s="30" t="s">
        <v>33</v>
      </c>
      <c r="L50" s="1"/>
      <c r="M50" s="1"/>
      <c r="N50" s="1"/>
      <c r="P50" s="26"/>
      <c r="Q50" s="26"/>
      <c r="Z50" s="3" t="s">
        <v>38</v>
      </c>
      <c r="AA50" t="s">
        <v>11</v>
      </c>
      <c r="AB50">
        <v>25</v>
      </c>
      <c r="AC50">
        <v>40</v>
      </c>
      <c r="AD50" s="2">
        <f t="shared" si="38"/>
        <v>75</v>
      </c>
      <c r="AE50" s="2">
        <f t="shared" si="39"/>
        <v>105</v>
      </c>
      <c r="AF50" s="4">
        <v>0.63</v>
      </c>
      <c r="AG50">
        <v>0.37</v>
      </c>
    </row>
    <row r="51" spans="1:33">
      <c r="A51" s="7">
        <f>'Input Information'!$D$24</f>
        <v>0</v>
      </c>
      <c r="B51" s="8">
        <f>'Input Information'!$H$24</f>
        <v>0</v>
      </c>
      <c r="C51" s="8" t="s">
        <v>28</v>
      </c>
      <c r="D51" s="34" t="e">
        <f>((F51-G51)*((1+(0.05*B51)))+(K51))</f>
        <v>#N/A</v>
      </c>
      <c r="E51" s="24" t="e">
        <f>IF(OR(AND('Input Information'!D24="Alfalfa",G51&lt;=Calc!F51),AND('Input Information'!D24="Corn-Silage",G51&lt;=Calc!F51)),IF(D51&gt;300,"300",D51),D51)</f>
        <v>#N/A</v>
      </c>
      <c r="F51" s="32" t="e">
        <f>VLOOKUP(A51,$Z$46:$AG$52,5,)</f>
        <v>#N/A</v>
      </c>
      <c r="G51" s="12">
        <f>IF(Introduction!C7="pounds per acre",('Input Information'!L24/2),'Input Information'!L24)</f>
        <v>0</v>
      </c>
      <c r="H51" s="203"/>
      <c r="I51" s="203"/>
      <c r="J51" s="33" t="s">
        <v>34</v>
      </c>
      <c r="K51" s="34" t="e">
        <f>(L51*M51)+N51</f>
        <v>#N/A</v>
      </c>
      <c r="L51" s="35">
        <f>'Input Information'!$F$24</f>
        <v>0</v>
      </c>
      <c r="M51" s="35" t="e">
        <f>VLOOKUP(A51,$Z$47:$AG$52,8,)</f>
        <v>#N/A</v>
      </c>
      <c r="N51" s="5">
        <v>20</v>
      </c>
      <c r="O51" s="8" t="s">
        <v>35</v>
      </c>
      <c r="P51" s="27" t="e">
        <f>K51-(K51*(G51-(F51+30))/20)</f>
        <v>#N/A</v>
      </c>
      <c r="Q51" s="23" t="e">
        <f t="shared" ref="Q51:Q53" si="40">IF(P51&lt;0,"0",P51)</f>
        <v>#N/A</v>
      </c>
      <c r="R51" s="5" t="e">
        <f>VLOOKUP(A51,$Z$47:$AG$52,6,)</f>
        <v>#N/A</v>
      </c>
      <c r="S51" s="44" t="e">
        <f>K51-(K51*(G51-F51)/50)</f>
        <v>#N/A</v>
      </c>
      <c r="T51" s="51" t="e">
        <f>IF(S51&lt;0,"0",S51)</f>
        <v>#N/A</v>
      </c>
      <c r="U51" s="13"/>
      <c r="V51" s="13"/>
      <c r="W51" s="13"/>
      <c r="X51" s="13"/>
      <c r="Y51" s="13"/>
      <c r="Z51" s="3" t="s">
        <v>39</v>
      </c>
      <c r="AA51" t="s">
        <v>11</v>
      </c>
      <c r="AB51">
        <v>25</v>
      </c>
      <c r="AC51">
        <v>40</v>
      </c>
      <c r="AD51" s="2">
        <f t="shared" si="38"/>
        <v>75</v>
      </c>
      <c r="AE51" s="2">
        <f t="shared" si="39"/>
        <v>105</v>
      </c>
      <c r="AF51" s="4">
        <v>0.72</v>
      </c>
      <c r="AG51">
        <v>1.28</v>
      </c>
    </row>
    <row r="52" spans="1:33">
      <c r="A52" s="11">
        <f>'Input Information'!$D$25</f>
        <v>0</v>
      </c>
      <c r="B52" s="12">
        <f>'Input Information'!$H$24</f>
        <v>0</v>
      </c>
      <c r="C52" s="12" t="s">
        <v>28</v>
      </c>
      <c r="D52" s="38" t="e">
        <f>((F52-G52)*((1+(0.05*B52)))+(K52))</f>
        <v>#N/A</v>
      </c>
      <c r="E52" s="24" t="e">
        <f>IF(OR(AND('Input Information'!D25="Alfalfa",G52&lt;=Calc!F52),AND('Input Information'!D25="Corn-Silage",G52&lt;=Calc!F52)),IF(D52&gt;300,"300",D52),D52)</f>
        <v>#N/A</v>
      </c>
      <c r="F52" s="36" t="e">
        <f>VLOOKUP(A52,$Z$46:$AG$52,5,)</f>
        <v>#N/A</v>
      </c>
      <c r="G52" s="12">
        <f>IF(Introduction!C7="pounds per acre",('Input Information'!L25/2),'Input Information'!L25)</f>
        <v>0</v>
      </c>
      <c r="H52" s="203"/>
      <c r="I52" s="203"/>
      <c r="J52" s="37" t="s">
        <v>34</v>
      </c>
      <c r="K52" s="38" t="e">
        <f t="shared" ref="K52:K53" si="41">(L52*M52)+N52</f>
        <v>#N/A</v>
      </c>
      <c r="L52" s="31">
        <f>'Input Information'!$F$25</f>
        <v>0</v>
      </c>
      <c r="M52" s="31" t="e">
        <f>VLOOKUP(A52,$Z$47:$AG$52,8,)</f>
        <v>#N/A</v>
      </c>
      <c r="N52" s="6">
        <v>20</v>
      </c>
      <c r="O52" s="12" t="s">
        <v>35</v>
      </c>
      <c r="P52" s="27" t="e">
        <f>K52-(K52*(G52-(F52+30))/20)</f>
        <v>#N/A</v>
      </c>
      <c r="Q52" s="24" t="e">
        <f t="shared" si="40"/>
        <v>#N/A</v>
      </c>
      <c r="R52" s="6" t="e">
        <f>VLOOKUP(A52,$Z$47:$AG$52,6,)</f>
        <v>#N/A</v>
      </c>
      <c r="S52" s="45" t="e">
        <f>K52-(K52*(G52-F52)/50)</f>
        <v>#N/A</v>
      </c>
      <c r="T52" s="52" t="e">
        <f t="shared" ref="T52" si="42">IF(S52&lt;0,"0",S52)</f>
        <v>#N/A</v>
      </c>
      <c r="U52" s="13"/>
      <c r="V52" s="13"/>
      <c r="W52" s="13"/>
      <c r="X52" s="13"/>
      <c r="Y52" s="13"/>
      <c r="Z52" t="s">
        <v>4</v>
      </c>
      <c r="AA52" t="s">
        <v>12</v>
      </c>
      <c r="AB52">
        <v>25</v>
      </c>
      <c r="AC52">
        <v>40</v>
      </c>
      <c r="AD52" s="2">
        <f t="shared" si="38"/>
        <v>75</v>
      </c>
      <c r="AE52" s="2">
        <f t="shared" si="39"/>
        <v>105</v>
      </c>
      <c r="AF52" s="4">
        <v>13</v>
      </c>
      <c r="AG52">
        <v>50</v>
      </c>
    </row>
    <row r="53" spans="1:33">
      <c r="A53" s="15">
        <f>'Input Information'!$D$26</f>
        <v>0</v>
      </c>
      <c r="B53" s="16">
        <f>'Input Information'!$H$24</f>
        <v>0</v>
      </c>
      <c r="C53" s="16" t="s">
        <v>28</v>
      </c>
      <c r="D53" s="41" t="e">
        <f>((F53-G53)*((1+(0.05*B53)))+(K53))</f>
        <v>#N/A</v>
      </c>
      <c r="E53" s="25" t="e">
        <f>IF(OR(AND('Input Information'!D26="Alfalfa",G53&lt;=Calc!F53),AND('Input Information'!D26="Corn-Silage",G53&lt;=Calc!F53)),IF(D53&gt;300,"300",D53),D53)</f>
        <v>#N/A</v>
      </c>
      <c r="F53" s="39" t="e">
        <f>VLOOKUP(A53,$Z$46:$AG$52,5,)</f>
        <v>#N/A</v>
      </c>
      <c r="G53" s="16">
        <f>IF(Introduction!C7="pounds per acre",('Input Information'!L26/2),'Input Information'!L26)</f>
        <v>0</v>
      </c>
      <c r="H53" s="204"/>
      <c r="I53" s="204"/>
      <c r="J53" s="40" t="s">
        <v>34</v>
      </c>
      <c r="K53" s="41" t="e">
        <f t="shared" si="41"/>
        <v>#N/A</v>
      </c>
      <c r="L53" s="42">
        <f>'Input Information'!$F$26</f>
        <v>0</v>
      </c>
      <c r="M53" s="42" t="e">
        <f>VLOOKUP(A53,$Z$47:$AG$52,8,)</f>
        <v>#N/A</v>
      </c>
      <c r="N53" s="17">
        <v>20</v>
      </c>
      <c r="O53" s="16" t="s">
        <v>35</v>
      </c>
      <c r="P53" s="29" t="e">
        <f>K53-((K53*(G53-(F53+30))/20))</f>
        <v>#N/A</v>
      </c>
      <c r="Q53" s="25" t="e">
        <f t="shared" si="40"/>
        <v>#N/A</v>
      </c>
      <c r="R53" s="17" t="e">
        <f>VLOOKUP(A53,$Z$47:$AG$52,6,)</f>
        <v>#N/A</v>
      </c>
      <c r="S53" s="46" t="e">
        <f>K53-(K53*(G53-F53)/50)</f>
        <v>#N/A</v>
      </c>
      <c r="T53" s="53" t="e">
        <f>IF(S53&lt;0,"0",IF(S53&gt;300,"300",S53))</f>
        <v>#N/A</v>
      </c>
      <c r="U53" s="13"/>
      <c r="V53" s="13"/>
      <c r="W53" s="13"/>
      <c r="X53" s="13"/>
      <c r="Y53" s="13"/>
    </row>
    <row r="54" spans="1:33">
      <c r="A54" s="50" t="s">
        <v>58</v>
      </c>
    </row>
    <row r="55" spans="1:33">
      <c r="A55" s="3" t="s">
        <v>15</v>
      </c>
      <c r="B55" s="3" t="s">
        <v>6</v>
      </c>
      <c r="C55" s="3" t="s">
        <v>41</v>
      </c>
      <c r="D55" s="3" t="s">
        <v>33</v>
      </c>
      <c r="E55" s="3"/>
      <c r="F55" s="3" t="s">
        <v>24</v>
      </c>
      <c r="G55" s="16" t="s">
        <v>25</v>
      </c>
      <c r="H55" s="40" t="s">
        <v>114</v>
      </c>
      <c r="I55" s="40" t="s">
        <v>115</v>
      </c>
      <c r="J55" s="3" t="s">
        <v>31</v>
      </c>
      <c r="K55" s="3" t="s">
        <v>33</v>
      </c>
      <c r="L55" t="s">
        <v>26</v>
      </c>
      <c r="M55" t="s">
        <v>27</v>
      </c>
      <c r="P55" s="3" t="s">
        <v>33</v>
      </c>
      <c r="Q55" s="3" t="s">
        <v>33</v>
      </c>
      <c r="R55" s="3" t="s">
        <v>37</v>
      </c>
      <c r="AB55" t="s">
        <v>7</v>
      </c>
      <c r="AC55" s="3" t="s">
        <v>36</v>
      </c>
      <c r="AD55" t="s">
        <v>8</v>
      </c>
      <c r="AE55" s="3" t="s">
        <v>44</v>
      </c>
      <c r="AF55" t="s">
        <v>9</v>
      </c>
      <c r="AG55" t="s">
        <v>13</v>
      </c>
    </row>
    <row r="56" spans="1:33">
      <c r="A56" s="7">
        <f>'Input Information'!$D$28</f>
        <v>0</v>
      </c>
      <c r="B56" s="8"/>
      <c r="C56" s="8" t="s">
        <v>28</v>
      </c>
      <c r="D56" s="32" t="e">
        <f>((F56-G56)*5)+K56</f>
        <v>#N/A</v>
      </c>
      <c r="E56" s="32"/>
      <c r="F56" s="33" t="e">
        <f>VLOOKUP(A56,$Z$55:$AG$61,3,)</f>
        <v>#N/A</v>
      </c>
      <c r="G56" s="21">
        <f t="shared" ref="G56:G58" si="43">IF(I56&lt;1,1,I56)</f>
        <v>1</v>
      </c>
      <c r="H56" s="21">
        <f>IF(Introduction!C7="pounds per acre",('Input Information'!K28/2),'Input Information'!K28)</f>
        <v>0</v>
      </c>
      <c r="I56" s="21">
        <f>IF(Introduction!C8="Bray 1",H56,-8.08+0.832*H56)</f>
        <v>0</v>
      </c>
      <c r="J56" s="33" t="s">
        <v>34</v>
      </c>
      <c r="K56" s="34" t="e">
        <f>L56*M56</f>
        <v>#N/A</v>
      </c>
      <c r="L56" s="35">
        <f>'Input Information'!$F$28</f>
        <v>0</v>
      </c>
      <c r="M56" s="35" t="e">
        <f>VLOOKUP(A56,$Z$56:$AG$61,7,)</f>
        <v>#N/A</v>
      </c>
      <c r="N56" s="35"/>
      <c r="O56" s="8" t="s">
        <v>35</v>
      </c>
      <c r="P56" s="23" t="e">
        <f>K56-(K56*(G56-(F56+15))/10)</f>
        <v>#N/A</v>
      </c>
      <c r="Q56" s="23" t="e">
        <f>IF(P56&lt;0,"0",P56)</f>
        <v>#N/A</v>
      </c>
      <c r="R56" s="10" t="e">
        <f>VLOOKUP(A56,$Z$56:$AG$61,4,)</f>
        <v>#N/A</v>
      </c>
      <c r="V56" s="47">
        <f>'Input Information'!J28</f>
        <v>0</v>
      </c>
      <c r="W56" s="48">
        <f>IF(-6.7553*V56+46.8098&lt;0.5,"0",-6.7553*V56+46.8098)</f>
        <v>46.809800000000003</v>
      </c>
      <c r="X56" s="48">
        <f>IF(-5.6399*V56+39.1496&lt;0.5,"0",-5.6399*V56+39.1496)</f>
        <v>39.1496</v>
      </c>
      <c r="Y56" s="49">
        <f>IF(-4.5721*V56+31.7602&lt;0.5,"0",-4.5721*V56+31.7602)</f>
        <v>31.760200000000001</v>
      </c>
      <c r="Z56" t="s">
        <v>2</v>
      </c>
      <c r="AA56" t="s">
        <v>11</v>
      </c>
      <c r="AB56">
        <v>15</v>
      </c>
      <c r="AC56">
        <v>30</v>
      </c>
      <c r="AD56" s="2">
        <f>75+(2.5*$B$60)</f>
        <v>75</v>
      </c>
      <c r="AE56" s="2">
        <f>AD56+30</f>
        <v>105</v>
      </c>
      <c r="AF56" s="4">
        <v>0.37</v>
      </c>
      <c r="AG56">
        <v>0.27</v>
      </c>
    </row>
    <row r="57" spans="1:33">
      <c r="A57" s="11">
        <f>'Input Information'!$D$29</f>
        <v>0</v>
      </c>
      <c r="B57" s="12"/>
      <c r="C57" s="12" t="s">
        <v>28</v>
      </c>
      <c r="D57" s="36" t="e">
        <f>((F57-G57)*5)+K57</f>
        <v>#N/A</v>
      </c>
      <c r="E57" s="36"/>
      <c r="F57" s="37" t="e">
        <f>VLOOKUP(A57,$Z$55:$AG$61,3,)</f>
        <v>#N/A</v>
      </c>
      <c r="G57" s="21">
        <f t="shared" si="43"/>
        <v>1</v>
      </c>
      <c r="H57" s="21">
        <f>IF(Introduction!C7="pounds per acre",('Input Information'!K29/2),'Input Information'!K29)</f>
        <v>0</v>
      </c>
      <c r="I57" s="21">
        <f>IF(Introduction!C8="Bray 1",H57,-8.08+0.832*H57)</f>
        <v>0</v>
      </c>
      <c r="J57" s="37" t="s">
        <v>34</v>
      </c>
      <c r="K57" s="38" t="e">
        <f>L57*M57</f>
        <v>#N/A</v>
      </c>
      <c r="L57" s="31">
        <f>'Input Information'!$F$29</f>
        <v>0</v>
      </c>
      <c r="M57" s="31" t="e">
        <f>VLOOKUP(A57,$Z$56:$AG$61,7,)</f>
        <v>#N/A</v>
      </c>
      <c r="N57" s="31"/>
      <c r="O57" s="12" t="s">
        <v>35</v>
      </c>
      <c r="P57" s="24" t="e">
        <f>K57-(K57*(G57-(F57+15))/10)</f>
        <v>#N/A</v>
      </c>
      <c r="Q57" s="24" t="e">
        <f t="shared" ref="Q57" si="44">IF(P57&lt;0,"0",P57)</f>
        <v>#N/A</v>
      </c>
      <c r="R57" s="14" t="e">
        <f>VLOOKUP(A57,$Z$56:$AG$61,4,)</f>
        <v>#N/A</v>
      </c>
      <c r="Z57" t="s">
        <v>10</v>
      </c>
      <c r="AA57" t="s">
        <v>12</v>
      </c>
      <c r="AB57">
        <v>15</v>
      </c>
      <c r="AC57">
        <v>30</v>
      </c>
      <c r="AD57" s="2">
        <f t="shared" ref="AD57:AD61" si="45">75+(2.5*$B$60)</f>
        <v>75</v>
      </c>
      <c r="AE57" s="2">
        <f t="shared" ref="AE57:AE61" si="46">AD57+30</f>
        <v>105</v>
      </c>
      <c r="AF57" s="4">
        <v>3.3</v>
      </c>
      <c r="AG57">
        <v>8</v>
      </c>
    </row>
    <row r="58" spans="1:33">
      <c r="A58" s="15">
        <f>'Input Information'!$D$30</f>
        <v>0</v>
      </c>
      <c r="B58" s="16"/>
      <c r="C58" s="16" t="s">
        <v>28</v>
      </c>
      <c r="D58" s="39" t="e">
        <f>((F58-G58)*5)+K58</f>
        <v>#N/A</v>
      </c>
      <c r="E58" s="39"/>
      <c r="F58" s="40" t="e">
        <f>VLOOKUP(A58,$Z$55:$AG$61,3,)</f>
        <v>#N/A</v>
      </c>
      <c r="G58" s="21">
        <f t="shared" si="43"/>
        <v>1</v>
      </c>
      <c r="H58" s="22">
        <f>IF(Introduction!C7="pounds per acre",('Input Information'!K30/2),'Input Information'!K30)</f>
        <v>0</v>
      </c>
      <c r="I58" s="22">
        <f>IF(Introduction!C8="Bray 1",H58,-8.08+0.832*H58)</f>
        <v>0</v>
      </c>
      <c r="J58" s="40" t="s">
        <v>34</v>
      </c>
      <c r="K58" s="41" t="e">
        <f>L58*M58</f>
        <v>#N/A</v>
      </c>
      <c r="L58" s="42">
        <f>'Input Information'!$F$30</f>
        <v>0</v>
      </c>
      <c r="M58" s="42" t="e">
        <f>VLOOKUP(A58,$Z$56:$AG$61,7,)</f>
        <v>#N/A</v>
      </c>
      <c r="N58" s="42"/>
      <c r="O58" s="16" t="s">
        <v>35</v>
      </c>
      <c r="P58" s="25" t="e">
        <f>K58-(K58*(G58-(F58+15))/10)</f>
        <v>#N/A</v>
      </c>
      <c r="Q58" s="25" t="e">
        <f>IF(P58&lt;0,"0",P58)</f>
        <v>#N/A</v>
      </c>
      <c r="R58" s="19" t="e">
        <f>VLOOKUP(A58,$Z$56:$AG$61,4,)</f>
        <v>#N/A</v>
      </c>
      <c r="Z58" t="s">
        <v>3</v>
      </c>
      <c r="AA58" t="s">
        <v>11</v>
      </c>
      <c r="AB58">
        <v>15</v>
      </c>
      <c r="AC58">
        <v>30</v>
      </c>
      <c r="AD58" s="2">
        <f t="shared" si="45"/>
        <v>75</v>
      </c>
      <c r="AE58" s="2">
        <f t="shared" si="46"/>
        <v>105</v>
      </c>
      <c r="AF58" s="4">
        <v>0.8</v>
      </c>
      <c r="AG58">
        <v>1.4</v>
      </c>
    </row>
    <row r="59" spans="1:33">
      <c r="C59" s="3" t="s">
        <v>42</v>
      </c>
      <c r="D59" s="30" t="s">
        <v>33</v>
      </c>
      <c r="E59" s="110"/>
      <c r="F59" s="1"/>
      <c r="G59" s="109"/>
      <c r="H59" s="31"/>
      <c r="I59" s="31"/>
      <c r="J59" s="30" t="s">
        <v>43</v>
      </c>
      <c r="K59" s="30" t="s">
        <v>33</v>
      </c>
      <c r="L59" s="1"/>
      <c r="M59" s="1"/>
      <c r="N59" s="1"/>
      <c r="P59" s="26"/>
      <c r="Q59" s="26"/>
      <c r="Z59" s="3" t="s">
        <v>38</v>
      </c>
      <c r="AA59" t="s">
        <v>11</v>
      </c>
      <c r="AB59">
        <v>25</v>
      </c>
      <c r="AC59">
        <v>40</v>
      </c>
      <c r="AD59" s="2">
        <f t="shared" si="45"/>
        <v>75</v>
      </c>
      <c r="AE59" s="2">
        <f t="shared" si="46"/>
        <v>105</v>
      </c>
      <c r="AF59" s="4">
        <v>0.63</v>
      </c>
      <c r="AG59">
        <v>0.37</v>
      </c>
    </row>
    <row r="60" spans="1:33">
      <c r="A60" s="7">
        <f>'Input Information'!$D$28</f>
        <v>0</v>
      </c>
      <c r="B60" s="8">
        <f>'Input Information'!$H$28</f>
        <v>0</v>
      </c>
      <c r="C60" s="8" t="s">
        <v>28</v>
      </c>
      <c r="D60" s="34" t="e">
        <f>((F60-G60)*((1+(0.05*B60)))+(K60))</f>
        <v>#N/A</v>
      </c>
      <c r="E60" s="24" t="e">
        <f>IF(OR(AND('Input Information'!D28="Alfalfa",G60&lt;=Calc!F60),AND('Input Information'!D28="Corn-Silage",G60&lt;=Calc!F60)),IF(D60&gt;300,"300",D60),D60)</f>
        <v>#N/A</v>
      </c>
      <c r="F60" s="32" t="e">
        <f>VLOOKUP(A60,$Z$55:$AG$61,5,)</f>
        <v>#N/A</v>
      </c>
      <c r="G60" s="12">
        <f>IF(Introduction!C7="pounds per acre",('Input Information'!L28/2),'Input Information'!L28)</f>
        <v>0</v>
      </c>
      <c r="H60" s="203"/>
      <c r="I60" s="203"/>
      <c r="J60" s="33" t="s">
        <v>34</v>
      </c>
      <c r="K60" s="34" t="e">
        <f>(L60*M60)+N60</f>
        <v>#N/A</v>
      </c>
      <c r="L60" s="35">
        <f>'Input Information'!$F$28</f>
        <v>0</v>
      </c>
      <c r="M60" s="35" t="e">
        <f>VLOOKUP(A60,$Z$56:$AG$61,8,)</f>
        <v>#N/A</v>
      </c>
      <c r="N60" s="5">
        <v>20</v>
      </c>
      <c r="O60" s="8" t="s">
        <v>35</v>
      </c>
      <c r="P60" s="27" t="e">
        <f>K60-(K60*(G60-(F60+30))/20)</f>
        <v>#N/A</v>
      </c>
      <c r="Q60" s="23" t="e">
        <f t="shared" ref="Q60:Q62" si="47">IF(P60&lt;0,"0",P60)</f>
        <v>#N/A</v>
      </c>
      <c r="R60" s="5" t="e">
        <f>VLOOKUP(A60,$Z$56:$AG$61,6,)</f>
        <v>#N/A</v>
      </c>
      <c r="S60" s="44" t="e">
        <f>K60-(K60*(G60-F60)/50)</f>
        <v>#N/A</v>
      </c>
      <c r="T60" s="51" t="e">
        <f>IF(S60&lt;0,"0",S60)</f>
        <v>#N/A</v>
      </c>
      <c r="U60" s="13"/>
      <c r="V60" s="13"/>
      <c r="W60" s="13"/>
      <c r="X60" s="13"/>
      <c r="Y60" s="13"/>
      <c r="Z60" s="3" t="s">
        <v>39</v>
      </c>
      <c r="AA60" t="s">
        <v>11</v>
      </c>
      <c r="AB60">
        <v>25</v>
      </c>
      <c r="AC60">
        <v>40</v>
      </c>
      <c r="AD60" s="2">
        <f t="shared" si="45"/>
        <v>75</v>
      </c>
      <c r="AE60" s="2">
        <f t="shared" si="46"/>
        <v>105</v>
      </c>
      <c r="AF60" s="4">
        <v>0.72</v>
      </c>
      <c r="AG60">
        <v>1.28</v>
      </c>
    </row>
    <row r="61" spans="1:33">
      <c r="A61" s="11">
        <f>'Input Information'!$D$29</f>
        <v>0</v>
      </c>
      <c r="B61" s="12">
        <f>'Input Information'!$H$28</f>
        <v>0</v>
      </c>
      <c r="C61" s="12" t="s">
        <v>28</v>
      </c>
      <c r="D61" s="38" t="e">
        <f>((F61-G61)*((1+(0.05*B61)))+(K61))</f>
        <v>#N/A</v>
      </c>
      <c r="E61" s="24" t="e">
        <f>IF(OR(AND('Input Information'!D29="Alfalfa",G61&lt;=Calc!F61),AND('Input Information'!D29="Corn-Silage",G61&lt;=Calc!F61)),IF(D61&gt;300,"300",D61),D61)</f>
        <v>#N/A</v>
      </c>
      <c r="F61" s="36" t="e">
        <f>VLOOKUP(A61,$Z$55:$AG$61,5,)</f>
        <v>#N/A</v>
      </c>
      <c r="G61" s="12">
        <f>IF(Introduction!C7="pounds per acre",('Input Information'!L29/2),'Input Information'!L29)</f>
        <v>0</v>
      </c>
      <c r="H61" s="203"/>
      <c r="I61" s="203"/>
      <c r="J61" s="37" t="s">
        <v>34</v>
      </c>
      <c r="K61" s="38" t="e">
        <f t="shared" ref="K61:K62" si="48">(L61*M61)+N61</f>
        <v>#N/A</v>
      </c>
      <c r="L61" s="31">
        <f>'Input Information'!$F$29</f>
        <v>0</v>
      </c>
      <c r="M61" s="31" t="e">
        <f>VLOOKUP(A61,$Z$56:$AG$61,8,)</f>
        <v>#N/A</v>
      </c>
      <c r="N61" s="6">
        <v>20</v>
      </c>
      <c r="O61" s="12" t="s">
        <v>35</v>
      </c>
      <c r="P61" s="28" t="e">
        <f>K61-((K61*(G61-(F61+30))/20))</f>
        <v>#N/A</v>
      </c>
      <c r="Q61" s="24" t="e">
        <f t="shared" si="47"/>
        <v>#N/A</v>
      </c>
      <c r="R61" s="6" t="e">
        <f>VLOOKUP(A61,$Z$56:$AG$61,6,)</f>
        <v>#N/A</v>
      </c>
      <c r="S61" s="45" t="e">
        <f>K61-(K61*(G61-F61)/50)</f>
        <v>#N/A</v>
      </c>
      <c r="T61" s="52" t="e">
        <f t="shared" ref="T61" si="49">IF(S61&lt;0,"0",S61)</f>
        <v>#N/A</v>
      </c>
      <c r="U61" s="13"/>
      <c r="V61" s="13"/>
      <c r="W61" s="13"/>
      <c r="X61" s="13"/>
      <c r="Y61" s="13"/>
      <c r="Z61" t="s">
        <v>4</v>
      </c>
      <c r="AA61" t="s">
        <v>12</v>
      </c>
      <c r="AB61">
        <v>25</v>
      </c>
      <c r="AC61">
        <v>40</v>
      </c>
      <c r="AD61" s="2">
        <f t="shared" si="45"/>
        <v>75</v>
      </c>
      <c r="AE61" s="2">
        <f t="shared" si="46"/>
        <v>105</v>
      </c>
      <c r="AF61" s="4">
        <v>13</v>
      </c>
      <c r="AG61">
        <v>50</v>
      </c>
    </row>
    <row r="62" spans="1:33">
      <c r="A62" s="15">
        <f>'Input Information'!$D$30</f>
        <v>0</v>
      </c>
      <c r="B62" s="16">
        <f>'Input Information'!$H$28</f>
        <v>0</v>
      </c>
      <c r="C62" s="16" t="s">
        <v>28</v>
      </c>
      <c r="D62" s="41" t="e">
        <f>((F62-G62)*((1+(0.05*B62)))+(K62))</f>
        <v>#N/A</v>
      </c>
      <c r="E62" s="25" t="e">
        <f>IF(OR(AND('Input Information'!D30="Alfalfa",G62&lt;=Calc!F62),AND('Input Information'!D30="Corn-Silage",G62&lt;=Calc!F62)),IF(D62&gt;300,"300",D62),D62)</f>
        <v>#N/A</v>
      </c>
      <c r="F62" s="39" t="e">
        <f>VLOOKUP(A62,$Z$55:$AG$61,5,)</f>
        <v>#N/A</v>
      </c>
      <c r="G62" s="16">
        <f>IF(Introduction!C7="pounds per acre",('Input Information'!L30/2),'Input Information'!L30)</f>
        <v>0</v>
      </c>
      <c r="H62" s="204"/>
      <c r="I62" s="204"/>
      <c r="J62" s="40" t="s">
        <v>34</v>
      </c>
      <c r="K62" s="41" t="e">
        <f t="shared" si="48"/>
        <v>#N/A</v>
      </c>
      <c r="L62" s="42">
        <f>'Input Information'!$F$30</f>
        <v>0</v>
      </c>
      <c r="M62" s="42" t="e">
        <f>VLOOKUP(A62,$Z$56:$AG$61,8,)</f>
        <v>#N/A</v>
      </c>
      <c r="N62" s="17">
        <v>20</v>
      </c>
      <c r="O62" s="16" t="s">
        <v>35</v>
      </c>
      <c r="P62" s="29" t="e">
        <f>K62-((K62*(G62-(F62+30))/20))</f>
        <v>#N/A</v>
      </c>
      <c r="Q62" s="25" t="e">
        <f t="shared" si="47"/>
        <v>#N/A</v>
      </c>
      <c r="R62" s="17" t="e">
        <f>VLOOKUP(A62,$Z$56:$AG$61,6,)</f>
        <v>#N/A</v>
      </c>
      <c r="S62" s="46" t="e">
        <f>K62-(K62*(G62-F62)/50)</f>
        <v>#N/A</v>
      </c>
      <c r="T62" s="53" t="e">
        <f>IF(S62&lt;0,"0",IF(S62&gt;300,"300",S62))</f>
        <v>#N/A</v>
      </c>
      <c r="U62" s="13"/>
      <c r="V62" s="13"/>
      <c r="W62" s="13"/>
      <c r="X62" s="13"/>
      <c r="Y62" s="13"/>
    </row>
  </sheetData>
  <sheetProtection password="FFAA" sheet="1" objects="1" scenarios="1" selectLockedCells="1" selectUnlockedCells="1"/>
  <printOptions headings="1"/>
  <pageMargins left="0.7" right="0.7"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Input Information</vt:lpstr>
      <vt:lpstr>Recommendation Summary</vt:lpstr>
      <vt:lpstr>Lime Rate &amp; Cost</vt:lpstr>
      <vt:lpstr>Fertilizer Rate &amp; Cost</vt:lpstr>
      <vt:lpstr>Calc</vt:lpstr>
    </vt:vector>
  </TitlesOfParts>
  <Company>OARDC/OSU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Mullen</dc:creator>
  <cp:lastModifiedBy>Mark Fritz</cp:lastModifiedBy>
  <cp:lastPrinted>2013-08-27T22:38:31Z</cp:lastPrinted>
  <dcterms:created xsi:type="dcterms:W3CDTF">2005-01-20T13:03:42Z</dcterms:created>
  <dcterms:modified xsi:type="dcterms:W3CDTF">2017-02-17T15:16:54Z</dcterms:modified>
</cp:coreProperties>
</file>