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dbill\Documents\4 R reviews\Manure 1st\"/>
    </mc:Choice>
  </mc:AlternateContent>
  <xr:revisionPtr revIDLastSave="0" documentId="13_ncr:1_{FD7784F4-A03F-4EF4-8622-E0AF2BA57847}" xr6:coauthVersionLast="45" xr6:coauthVersionMax="45" xr10:uidLastSave="{00000000-0000-0000-0000-000000000000}"/>
  <bookViews>
    <workbookView xWindow="28680" yWindow="-120" windowWidth="29040" windowHeight="15840" tabRatio="659" xr2:uid="{00000000-000D-0000-FFFF-FFFF00000000}"/>
  </bookViews>
  <sheets>
    <sheet name="Notes to Users" sheetId="4" r:id="rId1"/>
    <sheet name="Fertility Management Tool" sheetId="5" r:id="rId2"/>
    <sheet name="Nutrient $ Value" sheetId="6" r:id="rId3"/>
  </sheets>
  <definedNames>
    <definedName name="_xlnm.Print_Area" localSheetId="1">'Fertility Management Tool'!$A$1:$CX$67</definedName>
    <definedName name="_xlnm.Print_Area" localSheetId="0">'Notes to Users'!$A$1:$B$8</definedName>
    <definedName name="_xlnm.Print_Area" localSheetId="2">'Nutrient $ Value'!$A$1:$J$38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6" l="1"/>
  <c r="F35" i="6"/>
  <c r="F34" i="6"/>
  <c r="F33" i="6"/>
  <c r="F32" i="6"/>
  <c r="F31" i="6"/>
  <c r="F25" i="6"/>
  <c r="F24" i="6"/>
  <c r="F23" i="6"/>
  <c r="F22" i="6"/>
  <c r="F21" i="6"/>
  <c r="F20" i="6"/>
  <c r="J56" i="5" l="1"/>
  <c r="ER6" i="5"/>
  <c r="ER7" i="5"/>
  <c r="ER8" i="5"/>
  <c r="ER5" i="5"/>
  <c r="CO29" i="5" l="1"/>
  <c r="J52" i="5" l="1"/>
  <c r="F5" i="6" s="1"/>
  <c r="I52" i="5"/>
  <c r="E5" i="6" s="1"/>
  <c r="F52" i="5"/>
  <c r="DM34" i="5"/>
  <c r="DN34" i="5" s="1"/>
  <c r="DO34" i="5" s="1"/>
  <c r="B58" i="5" s="1"/>
  <c r="E52" i="5"/>
  <c r="E51" i="5"/>
  <c r="D13" i="6" l="1"/>
  <c r="G13" i="6" s="1"/>
  <c r="D12" i="6"/>
  <c r="G12" i="6" s="1"/>
  <c r="D14" i="6"/>
  <c r="G14" i="6" s="1"/>
  <c r="C58" i="5"/>
  <c r="CS2" i="5"/>
  <c r="DD68" i="5" s="1"/>
  <c r="DD17" i="5" l="1"/>
  <c r="DC17" i="5"/>
  <c r="M50" i="5" l="1"/>
  <c r="N50" i="5"/>
  <c r="O50" i="5"/>
  <c r="P50" i="5"/>
  <c r="Q50" i="5"/>
  <c r="Q51" i="5" s="1"/>
  <c r="DL5" i="5"/>
  <c r="F17" i="5" s="1"/>
  <c r="DE89" i="5"/>
  <c r="DD70" i="5"/>
  <c r="DE70" i="5"/>
  <c r="DE71" i="5" s="1"/>
  <c r="M28" i="5"/>
  <c r="N28" i="5" s="1"/>
  <c r="O28" i="5" s="1"/>
  <c r="P28" i="5" s="1"/>
  <c r="M29" i="5"/>
  <c r="N29" i="5" s="1"/>
  <c r="O29" i="5" s="1"/>
  <c r="M30" i="5"/>
  <c r="N30" i="5" s="1"/>
  <c r="O30" i="5" s="1"/>
  <c r="P30" i="5" s="1"/>
  <c r="M31" i="5"/>
  <c r="N31" i="5" s="1"/>
  <c r="O31" i="5" s="1"/>
  <c r="P31" i="5" s="1"/>
  <c r="M32" i="5"/>
  <c r="N32" i="5" s="1"/>
  <c r="O32" i="5" s="1"/>
  <c r="P32" i="5" s="1"/>
  <c r="M33" i="5"/>
  <c r="N33" i="5" s="1"/>
  <c r="O33" i="5" s="1"/>
  <c r="P33" i="5" s="1"/>
  <c r="M36" i="5"/>
  <c r="N36" i="5" s="1"/>
  <c r="O36" i="5" s="1"/>
  <c r="P36" i="5" s="1"/>
  <c r="M37" i="5"/>
  <c r="N37" i="5" s="1"/>
  <c r="O37" i="5" s="1"/>
  <c r="P37" i="5" s="1"/>
  <c r="BN31" i="5"/>
  <c r="BP31" i="5" s="1"/>
  <c r="BN28" i="5"/>
  <c r="BP28" i="5" s="1"/>
  <c r="BN29" i="5"/>
  <c r="BP29" i="5" s="1"/>
  <c r="BN30" i="5"/>
  <c r="BP30" i="5" s="1"/>
  <c r="BN32" i="5"/>
  <c r="BN33" i="5"/>
  <c r="BN34" i="5"/>
  <c r="BP34" i="5" s="1"/>
  <c r="BN35" i="5"/>
  <c r="BN36" i="5"/>
  <c r="BN37" i="5"/>
  <c r="BN38" i="5"/>
  <c r="BN39" i="5"/>
  <c r="X28" i="5"/>
  <c r="Z28" i="5" s="1"/>
  <c r="X29" i="5"/>
  <c r="Z29" i="5" s="1"/>
  <c r="X30" i="5"/>
  <c r="Z30" i="5" s="1"/>
  <c r="X31" i="5"/>
  <c r="Z31" i="5" s="1"/>
  <c r="X32" i="5"/>
  <c r="X33" i="5"/>
  <c r="X34" i="5"/>
  <c r="Z34" i="5" s="1"/>
  <c r="X35" i="5"/>
  <c r="Z35" i="5" s="1"/>
  <c r="X36" i="5"/>
  <c r="Z36" i="5" s="1"/>
  <c r="X37" i="5"/>
  <c r="Z37" i="5" s="1"/>
  <c r="X38" i="5"/>
  <c r="X39" i="5"/>
  <c r="AL28" i="5"/>
  <c r="AN28" i="5" s="1"/>
  <c r="AL29" i="5"/>
  <c r="AN29" i="5" s="1"/>
  <c r="AL30" i="5"/>
  <c r="AN30" i="5" s="1"/>
  <c r="AL31" i="5"/>
  <c r="AL32" i="5"/>
  <c r="AL33" i="5"/>
  <c r="AL34" i="5"/>
  <c r="AL35" i="5"/>
  <c r="AN35" i="5" s="1"/>
  <c r="AL36" i="5"/>
  <c r="AN36" i="5" s="1"/>
  <c r="AL37" i="5"/>
  <c r="AN37" i="5" s="1"/>
  <c r="AL38" i="5"/>
  <c r="AL39" i="5"/>
  <c r="AZ28" i="5"/>
  <c r="BB28" i="5" s="1"/>
  <c r="AZ29" i="5"/>
  <c r="BB29" i="5" s="1"/>
  <c r="AZ30" i="5"/>
  <c r="BB30" i="5" s="1"/>
  <c r="AZ31" i="5"/>
  <c r="BB31" i="5" s="1"/>
  <c r="AZ32" i="5"/>
  <c r="AZ33" i="5"/>
  <c r="AZ34" i="5"/>
  <c r="BB34" i="5" s="1"/>
  <c r="AZ35" i="5"/>
  <c r="AZ36" i="5"/>
  <c r="BB36" i="5" s="1"/>
  <c r="AZ37" i="5"/>
  <c r="BB37" i="5" s="1"/>
  <c r="AZ38" i="5"/>
  <c r="AZ39" i="5"/>
  <c r="CB28" i="5"/>
  <c r="CD28" i="5" s="1"/>
  <c r="CB29" i="5"/>
  <c r="CD29" i="5" s="1"/>
  <c r="CB30" i="5"/>
  <c r="CD30" i="5" s="1"/>
  <c r="CB31" i="5"/>
  <c r="CD31" i="5" s="1"/>
  <c r="CB32" i="5"/>
  <c r="CB33" i="5"/>
  <c r="CB34" i="5"/>
  <c r="CD34" i="5" s="1"/>
  <c r="CB35" i="5"/>
  <c r="CD35" i="5" s="1"/>
  <c r="CB36" i="5"/>
  <c r="CD36" i="5" s="1"/>
  <c r="CB37" i="5"/>
  <c r="CB38" i="5"/>
  <c r="CB39" i="5"/>
  <c r="Q29" i="5"/>
  <c r="S29" i="5" s="1"/>
  <c r="Q28" i="5"/>
  <c r="S28" i="5" s="1"/>
  <c r="Q30" i="5"/>
  <c r="S30" i="5" s="1"/>
  <c r="Q31" i="5"/>
  <c r="S31" i="5" s="1"/>
  <c r="Q32" i="5"/>
  <c r="S32" i="5" s="1"/>
  <c r="Q33" i="5"/>
  <c r="S33" i="5" s="1"/>
  <c r="Q34" i="5"/>
  <c r="S34" i="5" s="1"/>
  <c r="Q35" i="5"/>
  <c r="S35" i="5" s="1"/>
  <c r="Q36" i="5"/>
  <c r="S36" i="5" s="1"/>
  <c r="Q37" i="5"/>
  <c r="S37" i="5" s="1"/>
  <c r="Q38" i="5"/>
  <c r="S38" i="5" s="1"/>
  <c r="Q39" i="5"/>
  <c r="S39" i="5" s="1"/>
  <c r="AE34" i="5"/>
  <c r="AG34" i="5" s="1"/>
  <c r="AE28" i="5"/>
  <c r="AG28" i="5" s="1"/>
  <c r="AE29" i="5"/>
  <c r="AG29" i="5" s="1"/>
  <c r="AE30" i="5"/>
  <c r="AG30" i="5" s="1"/>
  <c r="AE31" i="5"/>
  <c r="AG31" i="5" s="1"/>
  <c r="AE32" i="5"/>
  <c r="AG32" i="5" s="1"/>
  <c r="AE33" i="5"/>
  <c r="AE35" i="5"/>
  <c r="AG35" i="5" s="1"/>
  <c r="AE36" i="5"/>
  <c r="AG36" i="5" s="1"/>
  <c r="AE37" i="5"/>
  <c r="AG37" i="5" s="1"/>
  <c r="AE38" i="5"/>
  <c r="AG38" i="5" s="1"/>
  <c r="AE39" i="5"/>
  <c r="AG39" i="5" s="1"/>
  <c r="BG31" i="5"/>
  <c r="BI31" i="5" s="1"/>
  <c r="BG28" i="5"/>
  <c r="BI28" i="5" s="1"/>
  <c r="BG29" i="5"/>
  <c r="BI29" i="5" s="1"/>
  <c r="BG30" i="5"/>
  <c r="BI30" i="5" s="1"/>
  <c r="BG32" i="5"/>
  <c r="BI32" i="5" s="1"/>
  <c r="BG33" i="5"/>
  <c r="BI33" i="5" s="1"/>
  <c r="BG34" i="5"/>
  <c r="BI34" i="5" s="1"/>
  <c r="BG35" i="5"/>
  <c r="BI35" i="5" s="1"/>
  <c r="BG36" i="5"/>
  <c r="BI36" i="5" s="1"/>
  <c r="BG37" i="5"/>
  <c r="BI37" i="5" s="1"/>
  <c r="BG38" i="5"/>
  <c r="BI38" i="5" s="1"/>
  <c r="BG39" i="5"/>
  <c r="BI39" i="5" s="1"/>
  <c r="AS28" i="5"/>
  <c r="AU28" i="5" s="1"/>
  <c r="AS29" i="5"/>
  <c r="AU29" i="5" s="1"/>
  <c r="AS30" i="5"/>
  <c r="AU30" i="5" s="1"/>
  <c r="AS31" i="5"/>
  <c r="AU31" i="5" s="1"/>
  <c r="AS32" i="5"/>
  <c r="AU32" i="5" s="1"/>
  <c r="AS33" i="5"/>
  <c r="AU33" i="5" s="1"/>
  <c r="AS34" i="5"/>
  <c r="AU34" i="5" s="1"/>
  <c r="AS35" i="5"/>
  <c r="AU35" i="5" s="1"/>
  <c r="AS36" i="5"/>
  <c r="AU36" i="5" s="1"/>
  <c r="AS37" i="5"/>
  <c r="AU37" i="5" s="1"/>
  <c r="AS38" i="5"/>
  <c r="AU38" i="5" s="1"/>
  <c r="AS39" i="5"/>
  <c r="AU39" i="5" s="1"/>
  <c r="BU28" i="5"/>
  <c r="BW28" i="5" s="1"/>
  <c r="BU29" i="5"/>
  <c r="BW29" i="5" s="1"/>
  <c r="BU30" i="5"/>
  <c r="BW30" i="5" s="1"/>
  <c r="BU31" i="5"/>
  <c r="BW31" i="5" s="1"/>
  <c r="BU32" i="5"/>
  <c r="BW32" i="5" s="1"/>
  <c r="BU33" i="5"/>
  <c r="BW33" i="5" s="1"/>
  <c r="BU34" i="5"/>
  <c r="BU35" i="5"/>
  <c r="BW35" i="5" s="1"/>
  <c r="BU36" i="5"/>
  <c r="BW36" i="5" s="1"/>
  <c r="BU37" i="5"/>
  <c r="BW37" i="5" s="1"/>
  <c r="BU38" i="5"/>
  <c r="BW38" i="5" s="1"/>
  <c r="BU39" i="5"/>
  <c r="BW39" i="5" s="1"/>
  <c r="DB27" i="5"/>
  <c r="DO29" i="5" s="1"/>
  <c r="DD27" i="5"/>
  <c r="BS34" i="5"/>
  <c r="BT34" i="5" s="1"/>
  <c r="AQ28" i="5"/>
  <c r="AR28" i="5" s="1"/>
  <c r="CG28" i="5"/>
  <c r="CH28" i="5" s="1"/>
  <c r="BS31" i="5"/>
  <c r="BT31" i="5" s="1"/>
  <c r="BS35" i="5"/>
  <c r="BT35" i="5" s="1"/>
  <c r="BS36" i="5"/>
  <c r="BT36" i="5" s="1"/>
  <c r="BS37" i="5"/>
  <c r="BT37" i="5" s="1"/>
  <c r="DD13" i="5"/>
  <c r="AJ28" i="5"/>
  <c r="AK28" i="5" s="1"/>
  <c r="BZ28" i="5"/>
  <c r="CA28" i="5" s="1"/>
  <c r="BL31" i="5"/>
  <c r="BM31" i="5" s="1"/>
  <c r="BL34" i="5"/>
  <c r="BM34" i="5" s="1"/>
  <c r="BL35" i="5"/>
  <c r="BM35" i="5" s="1"/>
  <c r="BL36" i="5"/>
  <c r="BM36" i="5" s="1"/>
  <c r="BL37" i="5"/>
  <c r="BM37" i="5" s="1"/>
  <c r="DK32" i="5"/>
  <c r="DE88" i="5"/>
  <c r="DQ67" i="5"/>
  <c r="DR68" i="5"/>
  <c r="DK30" i="5"/>
  <c r="DC28" i="5" s="1"/>
  <c r="C62" i="5"/>
  <c r="B62" i="5" s="1"/>
  <c r="DG70" i="5"/>
  <c r="DF70" i="5"/>
  <c r="M34" i="5"/>
  <c r="N34" i="5" s="1"/>
  <c r="O34" i="5" s="1"/>
  <c r="M35" i="5"/>
  <c r="N35" i="5" s="1"/>
  <c r="O35" i="5" s="1"/>
  <c r="M38" i="5"/>
  <c r="N38" i="5" s="1"/>
  <c r="O38" i="5" s="1"/>
  <c r="M39" i="5"/>
  <c r="N39" i="5" s="1"/>
  <c r="O39" i="5" s="1"/>
  <c r="P39" i="5" s="1"/>
  <c r="BP35" i="5"/>
  <c r="AN31" i="5"/>
  <c r="DK31" i="5"/>
  <c r="DH6" i="5"/>
  <c r="ES6" i="5" s="1"/>
  <c r="DH7" i="5"/>
  <c r="ES7" i="5" s="1"/>
  <c r="DH8" i="5"/>
  <c r="ES8" i="5" s="1"/>
  <c r="DH5" i="5"/>
  <c r="ES5" i="5" s="1"/>
  <c r="DC13" i="5"/>
  <c r="DF13" i="5" l="1"/>
  <c r="DC27" i="5" s="1"/>
  <c r="AT33" i="5" s="1"/>
  <c r="DF14" i="5"/>
  <c r="DD71" i="5"/>
  <c r="DG81" i="5" s="1"/>
  <c r="C61" i="5"/>
  <c r="B61" i="5" s="1"/>
  <c r="DO30" i="5"/>
  <c r="DP30" i="5" s="1"/>
  <c r="DP29" i="5"/>
  <c r="DD29" i="5"/>
  <c r="H14" i="5" s="1"/>
  <c r="DQ29" i="5"/>
  <c r="DR29" i="5" s="1"/>
  <c r="DQ30" i="5"/>
  <c r="DR30" i="5" s="1"/>
  <c r="DM30" i="5"/>
  <c r="AO38" i="5" s="1"/>
  <c r="DM29" i="5"/>
  <c r="Y32" i="5" s="1"/>
  <c r="O51" i="5"/>
  <c r="BU41" i="5"/>
  <c r="BU42" i="5" s="1"/>
  <c r="BN41" i="5"/>
  <c r="BN42" i="5" s="1"/>
  <c r="BP37" i="5"/>
  <c r="BG41" i="5"/>
  <c r="BG42" i="5" s="1"/>
  <c r="M51" i="5"/>
  <c r="BP36" i="5"/>
  <c r="CD37" i="5"/>
  <c r="P51" i="5"/>
  <c r="BW34" i="5"/>
  <c r="AE41" i="5"/>
  <c r="AE42" i="5" s="1"/>
  <c r="N51" i="5"/>
  <c r="E40" i="5" s="1"/>
  <c r="CB41" i="5"/>
  <c r="CB42" i="5" s="1"/>
  <c r="AZ41" i="5"/>
  <c r="AZ42" i="5" s="1"/>
  <c r="BB35" i="5"/>
  <c r="AS41" i="5"/>
  <c r="AS42" i="5" s="1"/>
  <c r="AG33" i="5"/>
  <c r="AL41" i="5"/>
  <c r="AL42" i="5" s="1"/>
  <c r="Q41" i="5"/>
  <c r="Q42" i="5" s="1"/>
  <c r="C44" i="5" s="1"/>
  <c r="X41" i="5"/>
  <c r="X42" i="5" s="1"/>
  <c r="DG28" i="5"/>
  <c r="DC30" i="5"/>
  <c r="DG30" i="5" s="1"/>
  <c r="DC29" i="5"/>
  <c r="O41" i="5"/>
  <c r="O42" i="5" s="1"/>
  <c r="P29" i="5"/>
  <c r="P41" i="5" s="1"/>
  <c r="P42" i="5" s="1"/>
  <c r="H44" i="5" s="1"/>
  <c r="D4" i="6" s="1"/>
  <c r="DJ71" i="5"/>
  <c r="DJ72" i="5"/>
  <c r="DJ70" i="5"/>
  <c r="DJ69" i="5"/>
  <c r="AN34" i="5"/>
  <c r="DN14" i="5" l="1"/>
  <c r="DN17" i="5"/>
  <c r="DN15" i="5"/>
  <c r="DN13" i="5"/>
  <c r="D31" i="6"/>
  <c r="D33" i="6"/>
  <c r="D32" i="6"/>
  <c r="G13" i="5"/>
  <c r="DG76" i="5"/>
  <c r="DG77" i="5"/>
  <c r="DG83" i="5"/>
  <c r="DG78" i="5"/>
  <c r="DG82" i="5"/>
  <c r="DG80" i="5"/>
  <c r="DG84" i="5"/>
  <c r="DG85" i="5"/>
  <c r="DG79" i="5"/>
  <c r="AM32" i="5"/>
  <c r="R29" i="5"/>
  <c r="DN28" i="5"/>
  <c r="BJ31" i="5"/>
  <c r="BV32" i="5"/>
  <c r="BH31" i="5"/>
  <c r="BJ30" i="5"/>
  <c r="AV33" i="5"/>
  <c r="BV33" i="5"/>
  <c r="T33" i="5"/>
  <c r="AV37" i="5"/>
  <c r="BH34" i="5"/>
  <c r="DR27" i="5"/>
  <c r="BJ32" i="5"/>
  <c r="DR28" i="5"/>
  <c r="AT39" i="5"/>
  <c r="T37" i="5"/>
  <c r="T38" i="5"/>
  <c r="AV38" i="5"/>
  <c r="BV28" i="5"/>
  <c r="BJ28" i="5"/>
  <c r="AV31" i="5"/>
  <c r="AT30" i="5"/>
  <c r="T28" i="5"/>
  <c r="BJ33" i="5"/>
  <c r="AH38" i="5"/>
  <c r="AH35" i="5"/>
  <c r="AF36" i="5"/>
  <c r="AF34" i="5"/>
  <c r="BV38" i="5"/>
  <c r="AF31" i="5"/>
  <c r="AH28" i="5"/>
  <c r="AH39" i="5"/>
  <c r="AF35" i="5"/>
  <c r="T30" i="5"/>
  <c r="R32" i="5"/>
  <c r="BX35" i="5"/>
  <c r="BX29" i="5"/>
  <c r="BX37" i="5"/>
  <c r="AT32" i="5"/>
  <c r="AV29" i="5"/>
  <c r="BJ35" i="5"/>
  <c r="AH36" i="5"/>
  <c r="BH38" i="5"/>
  <c r="BX33" i="5"/>
  <c r="BH37" i="5"/>
  <c r="BX34" i="5"/>
  <c r="BX32" i="5"/>
  <c r="AH32" i="5"/>
  <c r="T36" i="5"/>
  <c r="AF33" i="5"/>
  <c r="AF38" i="5"/>
  <c r="AT31" i="5"/>
  <c r="BX31" i="5"/>
  <c r="AO34" i="5"/>
  <c r="CE30" i="5"/>
  <c r="BP38" i="5"/>
  <c r="BQ38" i="5"/>
  <c r="AO33" i="5"/>
  <c r="BQ33" i="5"/>
  <c r="Z38" i="5"/>
  <c r="AM38" i="5"/>
  <c r="AM33" i="5"/>
  <c r="AN38" i="5"/>
  <c r="BC39" i="5"/>
  <c r="BC35" i="5"/>
  <c r="CD39" i="5"/>
  <c r="BQ36" i="5"/>
  <c r="CC33" i="5"/>
  <c r="CC39" i="5"/>
  <c r="DD28" i="5"/>
  <c r="G14" i="5" s="1"/>
  <c r="AN32" i="5"/>
  <c r="BB33" i="5"/>
  <c r="BP32" i="5"/>
  <c r="BP33" i="5"/>
  <c r="BO39" i="5"/>
  <c r="CE28" i="5"/>
  <c r="CE36" i="5"/>
  <c r="AA30" i="5"/>
  <c r="AO35" i="5"/>
  <c r="Y38" i="5"/>
  <c r="BC29" i="5"/>
  <c r="Y34" i="5"/>
  <c r="Y30" i="5"/>
  <c r="CE35" i="5"/>
  <c r="BO30" i="5"/>
  <c r="DN29" i="5"/>
  <c r="DT29" i="5" s="1"/>
  <c r="BA31" i="5"/>
  <c r="BC31" i="5"/>
  <c r="BQ31" i="5"/>
  <c r="Y28" i="5"/>
  <c r="AO37" i="5"/>
  <c r="CC30" i="5"/>
  <c r="CE31" i="5"/>
  <c r="Y37" i="5"/>
  <c r="AO30" i="5"/>
  <c r="BQ37" i="5"/>
  <c r="Y39" i="5"/>
  <c r="BO35" i="5"/>
  <c r="AA35" i="5"/>
  <c r="BQ28" i="5"/>
  <c r="BC34" i="5"/>
  <c r="AA28" i="5"/>
  <c r="AM35" i="5"/>
  <c r="AM31" i="5"/>
  <c r="Y31" i="5"/>
  <c r="CC38" i="5"/>
  <c r="AA29" i="5"/>
  <c r="BA30" i="5"/>
  <c r="AO31" i="5"/>
  <c r="AA37" i="5"/>
  <c r="BC30" i="5"/>
  <c r="AA31" i="5"/>
  <c r="AO29" i="5"/>
  <c r="AO28" i="5"/>
  <c r="BQ35" i="5"/>
  <c r="BQ29" i="5"/>
  <c r="AA36" i="5"/>
  <c r="CC31" i="5"/>
  <c r="BA33" i="5"/>
  <c r="CE34" i="5"/>
  <c r="CC32" i="5"/>
  <c r="AA34" i="5"/>
  <c r="Y33" i="5"/>
  <c r="CE29" i="5"/>
  <c r="AM30" i="5"/>
  <c r="AO36" i="5"/>
  <c r="AM39" i="5"/>
  <c r="Y35" i="5"/>
  <c r="CC35" i="5"/>
  <c r="Y36" i="5"/>
  <c r="BQ30" i="5"/>
  <c r="BC28" i="5"/>
  <c r="BQ34" i="5"/>
  <c r="BA32" i="5"/>
  <c r="CE37" i="5"/>
  <c r="BA35" i="5"/>
  <c r="BB32" i="5"/>
  <c r="Z39" i="5"/>
  <c r="BB38" i="5"/>
  <c r="AN39" i="5"/>
  <c r="AO32" i="5"/>
  <c r="AA32" i="5"/>
  <c r="Z33" i="5"/>
  <c r="BC38" i="5"/>
  <c r="BP39" i="5"/>
  <c r="AA38" i="5"/>
  <c r="BC33" i="5"/>
  <c r="CD32" i="5"/>
  <c r="CD33" i="5"/>
  <c r="BQ39" i="5"/>
  <c r="CE39" i="5"/>
  <c r="DN30" i="5"/>
  <c r="DT30" i="5" s="1"/>
  <c r="CD38" i="5"/>
  <c r="CE32" i="5"/>
  <c r="AA39" i="5"/>
  <c r="Z32" i="5"/>
  <c r="AA33" i="5"/>
  <c r="AO39" i="5"/>
  <c r="CE38" i="5"/>
  <c r="BB39" i="5"/>
  <c r="BQ32" i="5"/>
  <c r="CE33" i="5"/>
  <c r="AN33" i="5"/>
  <c r="BC32" i="5"/>
  <c r="BC37" i="5"/>
  <c r="BC36" i="5"/>
  <c r="BO38" i="5"/>
  <c r="BA38" i="5"/>
  <c r="BO32" i="5"/>
  <c r="BO33" i="5"/>
  <c r="BO31" i="5"/>
  <c r="BA39" i="5"/>
  <c r="Y29" i="5"/>
  <c r="I26" i="5"/>
  <c r="ET4" i="5" s="1"/>
  <c r="CJ41" i="5"/>
  <c r="E44" i="5" s="1"/>
  <c r="ET2" i="5" s="1"/>
  <c r="ET3" i="5" s="1"/>
  <c r="ET5" i="5" s="1"/>
  <c r="ET7" i="5" s="1"/>
  <c r="CK41" i="5"/>
  <c r="F44" i="5" s="1"/>
  <c r="DG29" i="5"/>
  <c r="DC31" i="5"/>
  <c r="DG31" i="5" s="1"/>
  <c r="DE90" i="5"/>
  <c r="CQ8" i="5" s="1"/>
  <c r="DI79" i="5" s="1"/>
  <c r="AH34" i="5"/>
  <c r="BX30" i="5"/>
  <c r="AV34" i="5"/>
  <c r="R36" i="5"/>
  <c r="AV32" i="5"/>
  <c r="AF39" i="5"/>
  <c r="AF37" i="5"/>
  <c r="R38" i="5"/>
  <c r="BV39" i="5"/>
  <c r="T31" i="5"/>
  <c r="BV31" i="5"/>
  <c r="BV36" i="5"/>
  <c r="BX28" i="5"/>
  <c r="AH30" i="5"/>
  <c r="BV30" i="5"/>
  <c r="BH35" i="5"/>
  <c r="AV36" i="5"/>
  <c r="BH39" i="5"/>
  <c r="DQ12" i="5"/>
  <c r="DU15" i="5" s="1"/>
  <c r="AT38" i="5"/>
  <c r="AF30" i="5"/>
  <c r="AT34" i="5"/>
  <c r="T39" i="5"/>
  <c r="BX36" i="5"/>
  <c r="T35" i="5"/>
  <c r="BV34" i="5"/>
  <c r="R34" i="5"/>
  <c r="R37" i="5"/>
  <c r="BJ34" i="5"/>
  <c r="AV28" i="5"/>
  <c r="AF29" i="5"/>
  <c r="DN27" i="5"/>
  <c r="BJ29" i="5"/>
  <c r="DP28" i="5"/>
  <c r="BV35" i="5"/>
  <c r="BV37" i="5"/>
  <c r="R28" i="5"/>
  <c r="R30" i="5"/>
  <c r="BJ37" i="5"/>
  <c r="AT37" i="5"/>
  <c r="R39" i="5"/>
  <c r="AH29" i="5"/>
  <c r="AT29" i="5"/>
  <c r="AH37" i="5"/>
  <c r="AV35" i="5"/>
  <c r="AT36" i="5"/>
  <c r="BH32" i="5"/>
  <c r="AF28" i="5"/>
  <c r="BH36" i="5"/>
  <c r="BJ38" i="5"/>
  <c r="AT35" i="5"/>
  <c r="T34" i="5"/>
  <c r="R33" i="5"/>
  <c r="AT28" i="5"/>
  <c r="BH30" i="5"/>
  <c r="BJ39" i="5"/>
  <c r="BV29" i="5"/>
  <c r="DP27" i="5"/>
  <c r="T32" i="5"/>
  <c r="BH33" i="5"/>
  <c r="BH28" i="5"/>
  <c r="AV39" i="5"/>
  <c r="AH33" i="5"/>
  <c r="BH29" i="5"/>
  <c r="T29" i="5"/>
  <c r="AV30" i="5"/>
  <c r="BX39" i="5"/>
  <c r="R35" i="5"/>
  <c r="R31" i="5"/>
  <c r="AH31" i="5"/>
  <c r="BJ36" i="5"/>
  <c r="BX38" i="5"/>
  <c r="AF32" i="5"/>
  <c r="H13" i="5" l="1"/>
  <c r="EC13" i="5"/>
  <c r="DU13" i="5"/>
  <c r="DU14" i="5" s="1"/>
  <c r="DT27" i="5"/>
  <c r="DT28" i="5"/>
  <c r="BY38" i="5" s="1"/>
  <c r="BZ38" i="5" s="1"/>
  <c r="CA38" i="5" s="1"/>
  <c r="E19" i="5"/>
  <c r="BD39" i="5"/>
  <c r="BE39" i="5" s="1"/>
  <c r="BF39" i="5" s="1"/>
  <c r="AP33" i="5"/>
  <c r="AQ33" i="5" s="1"/>
  <c r="AR33" i="5" s="1"/>
  <c r="BD33" i="5"/>
  <c r="BE33" i="5" s="1"/>
  <c r="BF33" i="5" s="1"/>
  <c r="AP38" i="5"/>
  <c r="AQ38" i="5" s="1"/>
  <c r="AR38" i="5" s="1"/>
  <c r="CF32" i="5"/>
  <c r="CG32" i="5" s="1"/>
  <c r="CH32" i="5" s="1"/>
  <c r="BR32" i="5"/>
  <c r="BS32" i="5" s="1"/>
  <c r="BT32" i="5" s="1"/>
  <c r="BD32" i="5"/>
  <c r="BE32" i="5" s="1"/>
  <c r="BF32" i="5" s="1"/>
  <c r="CC34" i="5"/>
  <c r="BO29" i="5"/>
  <c r="AM28" i="5"/>
  <c r="CC28" i="5"/>
  <c r="CC29" i="5"/>
  <c r="BO34" i="5"/>
  <c r="BO28" i="5"/>
  <c r="BO36" i="5"/>
  <c r="BA29" i="5"/>
  <c r="BA34" i="5"/>
  <c r="CC36" i="5"/>
  <c r="AM29" i="5"/>
  <c r="BA28" i="5"/>
  <c r="AM36" i="5"/>
  <c r="BO37" i="5"/>
  <c r="AM34" i="5"/>
  <c r="AP34" i="5" s="1"/>
  <c r="AQ34" i="5" s="1"/>
  <c r="AR34" i="5" s="1"/>
  <c r="BA36" i="5"/>
  <c r="BA37" i="5"/>
  <c r="CC37" i="5"/>
  <c r="AM37" i="5"/>
  <c r="AP37" i="5" s="1"/>
  <c r="AQ37" i="5" s="1"/>
  <c r="AR37" i="5" s="1"/>
  <c r="CF39" i="5"/>
  <c r="CG39" i="5" s="1"/>
  <c r="CH39" i="5" s="1"/>
  <c r="AP39" i="5"/>
  <c r="AQ39" i="5" s="1"/>
  <c r="AR39" i="5" s="1"/>
  <c r="CF33" i="5"/>
  <c r="CG33" i="5" s="1"/>
  <c r="CH33" i="5" s="1"/>
  <c r="AP32" i="5"/>
  <c r="AQ32" i="5" s="1"/>
  <c r="AR32" i="5" s="1"/>
  <c r="BD38" i="5"/>
  <c r="BE38" i="5" s="1"/>
  <c r="BF38" i="5" s="1"/>
  <c r="BR38" i="5"/>
  <c r="BS38" i="5" s="1"/>
  <c r="BT38" i="5" s="1"/>
  <c r="AB32" i="5"/>
  <c r="AC32" i="5" s="1"/>
  <c r="AD32" i="5" s="1"/>
  <c r="AB33" i="5"/>
  <c r="AC33" i="5" s="1"/>
  <c r="AD33" i="5" s="1"/>
  <c r="AB38" i="5"/>
  <c r="AC38" i="5" s="1"/>
  <c r="AD38" i="5" s="1"/>
  <c r="BR39" i="5"/>
  <c r="BS39" i="5" s="1"/>
  <c r="BT39" i="5" s="1"/>
  <c r="CF38" i="5"/>
  <c r="CG38" i="5" s="1"/>
  <c r="CH38" i="5" s="1"/>
  <c r="BR33" i="5"/>
  <c r="BS33" i="5" s="1"/>
  <c r="BT33" i="5" s="1"/>
  <c r="AB39" i="5"/>
  <c r="AC39" i="5" s="1"/>
  <c r="AD39" i="5" s="1"/>
  <c r="DK84" i="5"/>
  <c r="DL77" i="5"/>
  <c r="DL82" i="5"/>
  <c r="DL78" i="5"/>
  <c r="DJ83" i="5"/>
  <c r="DJ79" i="5"/>
  <c r="DK85" i="5"/>
  <c r="DK81" i="5"/>
  <c r="DI76" i="5"/>
  <c r="DL83" i="5"/>
  <c r="DL79" i="5"/>
  <c r="DI85" i="5"/>
  <c r="DI81" i="5"/>
  <c r="DK76" i="5"/>
  <c r="DK82" i="5"/>
  <c r="DK78" i="5"/>
  <c r="DL84" i="5"/>
  <c r="DL80" i="5"/>
  <c r="DK80" i="5"/>
  <c r="DL76" i="5"/>
  <c r="DI82" i="5"/>
  <c r="DI78" i="5"/>
  <c r="DJ84" i="5"/>
  <c r="DJ80" i="5"/>
  <c r="DL85" i="5"/>
  <c r="DL81" i="5"/>
  <c r="DK77" i="5"/>
  <c r="DI83" i="5"/>
  <c r="DJ78" i="5"/>
  <c r="DJ85" i="5"/>
  <c r="DJ81" i="5"/>
  <c r="DI77" i="5"/>
  <c r="DK83" i="5"/>
  <c r="DK79" i="5"/>
  <c r="DI84" i="5"/>
  <c r="DI80" i="5"/>
  <c r="DJ76" i="5"/>
  <c r="DJ82" i="5"/>
  <c r="DJ77" i="5"/>
  <c r="ET6" i="5" l="1"/>
  <c r="EU6" i="5" s="1"/>
  <c r="ET8" i="5"/>
  <c r="EU8" i="5" s="1"/>
  <c r="EU7" i="5"/>
  <c r="EU5" i="5"/>
  <c r="DM84" i="5"/>
  <c r="EC14" i="5"/>
  <c r="U38" i="5"/>
  <c r="V38" i="5" s="1"/>
  <c r="W38" i="5" s="1"/>
  <c r="DM76" i="5"/>
  <c r="DM82" i="5"/>
  <c r="DM78" i="5"/>
  <c r="DM79" i="5"/>
  <c r="AW37" i="5"/>
  <c r="AX37" i="5" s="1"/>
  <c r="AY37" i="5" s="1"/>
  <c r="BK38" i="5"/>
  <c r="BL38" i="5" s="1"/>
  <c r="BM38" i="5" s="1"/>
  <c r="AW36" i="5"/>
  <c r="AX36" i="5" s="1"/>
  <c r="AY36" i="5" s="1"/>
  <c r="U36" i="5"/>
  <c r="V36" i="5" s="1"/>
  <c r="W36" i="5" s="1"/>
  <c r="AI38" i="5"/>
  <c r="AJ38" i="5" s="1"/>
  <c r="AK38" i="5" s="1"/>
  <c r="BK39" i="5"/>
  <c r="BL39" i="5" s="1"/>
  <c r="BM39" i="5" s="1"/>
  <c r="U39" i="5"/>
  <c r="V39" i="5" s="1"/>
  <c r="W39" i="5" s="1"/>
  <c r="BY37" i="5"/>
  <c r="BZ37" i="5" s="1"/>
  <c r="CA37" i="5" s="1"/>
  <c r="AI36" i="5"/>
  <c r="AJ36" i="5" s="1"/>
  <c r="AK36" i="5" s="1"/>
  <c r="BY39" i="5"/>
  <c r="BZ39" i="5" s="1"/>
  <c r="CA39" i="5" s="1"/>
  <c r="AI39" i="5"/>
  <c r="AJ39" i="5" s="1"/>
  <c r="AK39" i="5" s="1"/>
  <c r="AW38" i="5"/>
  <c r="AX38" i="5" s="1"/>
  <c r="AY38" i="5" s="1"/>
  <c r="U37" i="5"/>
  <c r="V37" i="5" s="1"/>
  <c r="W37" i="5" s="1"/>
  <c r="BK36" i="5"/>
  <c r="AI37" i="5"/>
  <c r="AJ37" i="5" s="1"/>
  <c r="AK37" i="5" s="1"/>
  <c r="BK37" i="5"/>
  <c r="AW39" i="5"/>
  <c r="AX39" i="5" s="1"/>
  <c r="AY39" i="5" s="1"/>
  <c r="BY36" i="5"/>
  <c r="BZ36" i="5" s="1"/>
  <c r="CA36" i="5" s="1"/>
  <c r="CM39" i="5"/>
  <c r="BD36" i="5"/>
  <c r="BE36" i="5" s="1"/>
  <c r="BF36" i="5" s="1"/>
  <c r="CF37" i="5"/>
  <c r="CG37" i="5" s="1"/>
  <c r="CH37" i="5" s="1"/>
  <c r="BR37" i="5"/>
  <c r="CM38" i="5"/>
  <c r="CM32" i="5"/>
  <c r="BR36" i="5"/>
  <c r="AP30" i="5"/>
  <c r="AQ30" i="5" s="1"/>
  <c r="AR30" i="5" s="1"/>
  <c r="AB37" i="5"/>
  <c r="AC37" i="5" s="1"/>
  <c r="AD37" i="5" s="1"/>
  <c r="AB30" i="5"/>
  <c r="AC30" i="5" s="1"/>
  <c r="AD30" i="5" s="1"/>
  <c r="BD31" i="5"/>
  <c r="BE31" i="5" s="1"/>
  <c r="BF31" i="5" s="1"/>
  <c r="AB31" i="5"/>
  <c r="AC31" i="5" s="1"/>
  <c r="AD31" i="5" s="1"/>
  <c r="CF36" i="5"/>
  <c r="CG36" i="5" s="1"/>
  <c r="CH36" i="5" s="1"/>
  <c r="CF31" i="5"/>
  <c r="CG31" i="5" s="1"/>
  <c r="CH31" i="5" s="1"/>
  <c r="BR31" i="5"/>
  <c r="CF30" i="5"/>
  <c r="CG30" i="5" s="1"/>
  <c r="CH30" i="5" s="1"/>
  <c r="CF28" i="5"/>
  <c r="BD28" i="5"/>
  <c r="BE28" i="5" s="1"/>
  <c r="BF28" i="5" s="1"/>
  <c r="AP29" i="5"/>
  <c r="AQ29" i="5" s="1"/>
  <c r="AR29" i="5" s="1"/>
  <c r="AP36" i="5"/>
  <c r="AQ36" i="5" s="1"/>
  <c r="AR36" i="5" s="1"/>
  <c r="BD29" i="5"/>
  <c r="BE29" i="5" s="1"/>
  <c r="BF29" i="5" s="1"/>
  <c r="BD35" i="5"/>
  <c r="BE35" i="5" s="1"/>
  <c r="BF35" i="5" s="1"/>
  <c r="AP28" i="5"/>
  <c r="BR35" i="5"/>
  <c r="BR34" i="5"/>
  <c r="AB34" i="5"/>
  <c r="AC34" i="5" s="1"/>
  <c r="AD34" i="5" s="1"/>
  <c r="BD34" i="5"/>
  <c r="BE34" i="5" s="1"/>
  <c r="BF34" i="5" s="1"/>
  <c r="CF29" i="5"/>
  <c r="CG29" i="5" s="1"/>
  <c r="CH29" i="5" s="1"/>
  <c r="AP31" i="5"/>
  <c r="AQ31" i="5" s="1"/>
  <c r="AR31" i="5" s="1"/>
  <c r="BD30" i="5"/>
  <c r="BE30" i="5" s="1"/>
  <c r="BF30" i="5" s="1"/>
  <c r="AB29" i="5"/>
  <c r="AC29" i="5" s="1"/>
  <c r="AD29" i="5" s="1"/>
  <c r="CF35" i="5"/>
  <c r="CG35" i="5" s="1"/>
  <c r="CH35" i="5" s="1"/>
  <c r="CF34" i="5"/>
  <c r="CG34" i="5" s="1"/>
  <c r="CH34" i="5" s="1"/>
  <c r="AP35" i="5"/>
  <c r="AQ35" i="5" s="1"/>
  <c r="AR35" i="5" s="1"/>
  <c r="DD33" i="5"/>
  <c r="I14" i="5" s="1"/>
  <c r="AB35" i="5"/>
  <c r="AC35" i="5" s="1"/>
  <c r="AD35" i="5" s="1"/>
  <c r="AB28" i="5"/>
  <c r="AC28" i="5" s="1"/>
  <c r="AD28" i="5" s="1"/>
  <c r="BR30" i="5"/>
  <c r="BS30" i="5" s="1"/>
  <c r="BT30" i="5" s="1"/>
  <c r="BR28" i="5"/>
  <c r="BS28" i="5" s="1"/>
  <c r="BT28" i="5" s="1"/>
  <c r="BR29" i="5"/>
  <c r="BS29" i="5" s="1"/>
  <c r="BT29" i="5" s="1"/>
  <c r="AB36" i="5"/>
  <c r="AC36" i="5" s="1"/>
  <c r="AD36" i="5" s="1"/>
  <c r="BD37" i="5"/>
  <c r="BE37" i="5" s="1"/>
  <c r="BF37" i="5" s="1"/>
  <c r="CM33" i="5"/>
  <c r="DM83" i="5"/>
  <c r="DM85" i="5"/>
  <c r="DM81" i="5"/>
  <c r="DM80" i="5"/>
  <c r="DM77" i="5"/>
  <c r="AI34" i="5"/>
  <c r="AJ34" i="5" s="1"/>
  <c r="AK34" i="5" s="1"/>
  <c r="BK31" i="5"/>
  <c r="U29" i="5"/>
  <c r="V29" i="5" s="1"/>
  <c r="W29" i="5" s="1"/>
  <c r="AW33" i="5"/>
  <c r="AX33" i="5" s="1"/>
  <c r="AY33" i="5" s="1"/>
  <c r="BY33" i="5"/>
  <c r="BZ33" i="5" s="1"/>
  <c r="CA33" i="5" s="1"/>
  <c r="BY28" i="5"/>
  <c r="U30" i="5"/>
  <c r="V30" i="5" s="1"/>
  <c r="W30" i="5" s="1"/>
  <c r="AW32" i="5"/>
  <c r="AX32" i="5" s="1"/>
  <c r="AY32" i="5" s="1"/>
  <c r="U33" i="5"/>
  <c r="V33" i="5" s="1"/>
  <c r="W33" i="5" s="1"/>
  <c r="U35" i="5"/>
  <c r="V35" i="5" s="1"/>
  <c r="W35" i="5" s="1"/>
  <c r="BK33" i="5"/>
  <c r="BL33" i="5" s="1"/>
  <c r="BM33" i="5" s="1"/>
  <c r="AW35" i="5"/>
  <c r="AX35" i="5" s="1"/>
  <c r="AY35" i="5" s="1"/>
  <c r="U32" i="5"/>
  <c r="V32" i="5" s="1"/>
  <c r="W32" i="5" s="1"/>
  <c r="BK32" i="5"/>
  <c r="BL32" i="5" s="1"/>
  <c r="BM32" i="5" s="1"/>
  <c r="AI31" i="5"/>
  <c r="AJ31" i="5" s="1"/>
  <c r="AK31" i="5" s="1"/>
  <c r="BY30" i="5"/>
  <c r="BZ30" i="5" s="1"/>
  <c r="CA30" i="5" s="1"/>
  <c r="BK28" i="5"/>
  <c r="BL28" i="5" s="1"/>
  <c r="BM28" i="5" s="1"/>
  <c r="BY31" i="5"/>
  <c r="BZ31" i="5" s="1"/>
  <c r="CA31" i="5" s="1"/>
  <c r="AW29" i="5"/>
  <c r="AX29" i="5" s="1"/>
  <c r="AY29" i="5" s="1"/>
  <c r="AW30" i="5"/>
  <c r="AX30" i="5" s="1"/>
  <c r="AY30" i="5" s="1"/>
  <c r="BY32" i="5"/>
  <c r="BZ32" i="5" s="1"/>
  <c r="CA32" i="5" s="1"/>
  <c r="BK34" i="5"/>
  <c r="AI29" i="5"/>
  <c r="AJ29" i="5" s="1"/>
  <c r="AK29" i="5" s="1"/>
  <c r="BY35" i="5"/>
  <c r="BZ35" i="5" s="1"/>
  <c r="CA35" i="5" s="1"/>
  <c r="AI33" i="5"/>
  <c r="AJ33" i="5" s="1"/>
  <c r="AK33" i="5" s="1"/>
  <c r="AI35" i="5"/>
  <c r="AJ35" i="5" s="1"/>
  <c r="AK35" i="5" s="1"/>
  <c r="AI28" i="5"/>
  <c r="AW31" i="5"/>
  <c r="AX31" i="5" s="1"/>
  <c r="AY31" i="5" s="1"/>
  <c r="BK35" i="5"/>
  <c r="AI32" i="5"/>
  <c r="AJ32" i="5" s="1"/>
  <c r="AK32" i="5" s="1"/>
  <c r="DD32" i="5"/>
  <c r="I13" i="5" s="1"/>
  <c r="BK29" i="5"/>
  <c r="BL29" i="5" s="1"/>
  <c r="BM29" i="5" s="1"/>
  <c r="U28" i="5"/>
  <c r="V28" i="5" s="1"/>
  <c r="W28" i="5" s="1"/>
  <c r="BY29" i="5"/>
  <c r="BZ29" i="5" s="1"/>
  <c r="CA29" i="5" s="1"/>
  <c r="AW34" i="5"/>
  <c r="AX34" i="5" s="1"/>
  <c r="AY34" i="5" s="1"/>
  <c r="BK30" i="5"/>
  <c r="BL30" i="5" s="1"/>
  <c r="BM30" i="5" s="1"/>
  <c r="U31" i="5"/>
  <c r="V31" i="5" s="1"/>
  <c r="W31" i="5" s="1"/>
  <c r="AI30" i="5"/>
  <c r="AJ30" i="5" s="1"/>
  <c r="AK30" i="5" s="1"/>
  <c r="U34" i="5"/>
  <c r="V34" i="5" s="1"/>
  <c r="W34" i="5" s="1"/>
  <c r="BY34" i="5"/>
  <c r="BZ34" i="5" s="1"/>
  <c r="CA34" i="5" s="1"/>
  <c r="AW28" i="5"/>
  <c r="AX28" i="5" s="1"/>
  <c r="AY28" i="5" s="1"/>
  <c r="CM37" i="5" l="1"/>
  <c r="CL28" i="5"/>
  <c r="CM28" i="5"/>
  <c r="CL35" i="5"/>
  <c r="CM35" i="5"/>
  <c r="CM34" i="5"/>
  <c r="I56" i="5"/>
  <c r="CL37" i="5"/>
  <c r="CM31" i="5"/>
  <c r="CL31" i="5"/>
  <c r="CL30" i="5"/>
  <c r="CM30" i="5"/>
  <c r="CL34" i="5"/>
  <c r="CM36" i="5"/>
  <c r="CL38" i="5"/>
  <c r="CL36" i="5"/>
  <c r="DM87" i="5"/>
  <c r="CQ4" i="5" s="1"/>
  <c r="EC12" i="5" s="1"/>
  <c r="ED12" i="5" s="1"/>
  <c r="CL39" i="5"/>
  <c r="CM29" i="5"/>
  <c r="AD41" i="5"/>
  <c r="AD42" i="5" s="1"/>
  <c r="CL33" i="5"/>
  <c r="CL32" i="5"/>
  <c r="CL29" i="5"/>
  <c r="W41" i="5"/>
  <c r="W42" i="5" s="1"/>
  <c r="CM40" i="5" l="1"/>
  <c r="CM41" i="5" s="1"/>
  <c r="J44" i="5" s="1"/>
  <c r="F4" i="6" s="1"/>
  <c r="ED14" i="5"/>
  <c r="D48" i="5" s="1"/>
  <c r="D49" i="5" s="1"/>
  <c r="H52" i="5"/>
  <c r="CL40" i="5"/>
  <c r="CL41" i="5" s="1"/>
  <c r="I44" i="5" s="1"/>
  <c r="D36" i="6" l="1"/>
  <c r="G36" i="6" s="1"/>
  <c r="D25" i="6"/>
  <c r="G25" i="6" s="1"/>
  <c r="CP35" i="5"/>
  <c r="E4" i="6"/>
  <c r="C59" i="5"/>
  <c r="B59" i="5" s="1"/>
  <c r="D5" i="6"/>
  <c r="CT52" i="5"/>
  <c r="CP39" i="5" s="1"/>
  <c r="CT39" i="5" s="1"/>
  <c r="CP40" i="5"/>
  <c r="C64" i="5"/>
  <c r="B64" i="5" s="1"/>
  <c r="CS52" i="5"/>
  <c r="CP34" i="5" s="1"/>
  <c r="CT36" i="5" s="1"/>
  <c r="C63" i="5"/>
  <c r="B63" i="5" s="1"/>
  <c r="CR52" i="5"/>
  <c r="CP28" i="5" s="1"/>
  <c r="CT29" i="5" s="1"/>
  <c r="D35" i="6" l="1"/>
  <c r="G35" i="6" s="1"/>
  <c r="D34" i="6"/>
  <c r="G34" i="6" s="1"/>
  <c r="D24" i="6"/>
  <c r="G24" i="6" s="1"/>
  <c r="D23" i="6"/>
  <c r="G23" i="6" s="1"/>
  <c r="D21" i="6"/>
  <c r="G21" i="6" s="1"/>
  <c r="D20" i="6"/>
  <c r="G20" i="6" s="1"/>
  <c r="D22" i="6"/>
  <c r="G22" i="6" s="1"/>
  <c r="D10" i="6"/>
  <c r="G10" i="6" s="1"/>
  <c r="G31" i="6"/>
  <c r="D9" i="6"/>
  <c r="G9" i="6" s="1"/>
  <c r="D11" i="6"/>
  <c r="G11" i="6" s="1"/>
  <c r="G32" i="6"/>
  <c r="G33" i="6"/>
  <c r="CT34" i="5"/>
  <c r="CT27" i="5"/>
  <c r="CT31" i="5"/>
  <c r="C60" i="5"/>
  <c r="B60" i="5" s="1"/>
  <c r="H37" i="6" l="1"/>
  <c r="H15" i="6"/>
  <c r="H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Bailey, Patrick</author>
    <author>Livestock</author>
  </authors>
  <commentList>
    <comment ref="DF13" authorId="0" shapeId="0" xr:uid="{00000000-0006-0000-0100-000001000000}">
      <text>
        <r>
          <rPr>
            <b/>
            <sz val="9"/>
            <color indexed="81"/>
            <rFont val="Tahoma"/>
            <family val="2"/>
          </rPr>
          <t>Bailey, Patrick:</t>
        </r>
        <r>
          <rPr>
            <sz val="9"/>
            <color indexed="81"/>
            <rFont val="Tahoma"/>
            <family val="2"/>
          </rPr>
          <t xml:space="preserve">
Relationship between Mehlich-3 ICP and Bray-Kurtz P1 soil test P values assumed to follow the linear relationship described in OSU Fact Sheet #ANR-75, "Converting between Mehlich-3, Bray P, and Ammonium Acetate Soil Test Values", 14-June-2019.  https://ohioline.osu.edu/factsheet/anr-75
</t>
        </r>
      </text>
    </comment>
    <comment ref="F17" authorId="0" shapeId="0" xr:uid="{00000000-0006-0000-0100-000002000000}">
      <text>
        <r>
          <rPr>
            <sz val="9"/>
            <color indexed="81"/>
            <rFont val="Tahoma"/>
            <family val="2"/>
          </rPr>
          <t>A note pops up in this cell if the soil test is more than 3 years old from the date of application.</t>
        </r>
      </text>
    </comment>
    <comment ref="O27" authorId="1" shapeId="0" xr:uid="{00000000-0006-0000-0100-000003000000}">
      <text>
        <r>
          <rPr>
            <b/>
            <sz val="9"/>
            <color indexed="81"/>
            <rFont val="Tahoma"/>
            <family val="2"/>
          </rPr>
          <t>Livestock:</t>
        </r>
        <r>
          <rPr>
            <sz val="9"/>
            <color indexed="81"/>
            <rFont val="Tahoma"/>
            <family val="2"/>
          </rPr>
          <t xml:space="preserve">
This N Rec is what would be allowed for a manure N application under NRCS 590</t>
        </r>
      </text>
    </comment>
    <comment ref="P27" authorId="1" shapeId="0" xr:uid="{00000000-0006-0000-0100-000004000000}">
      <text>
        <r>
          <rPr>
            <b/>
            <sz val="9"/>
            <color indexed="81"/>
            <rFont val="Tahoma"/>
            <family val="2"/>
          </rPr>
          <t>Livestock:</t>
        </r>
        <r>
          <rPr>
            <sz val="9"/>
            <color indexed="81"/>
            <rFont val="Tahoma"/>
            <family val="2"/>
          </rPr>
          <t xml:space="preserve">
This N Rec is what would be allowed for a manure N application under Tri- State Recs</t>
        </r>
      </text>
    </comment>
    <comment ref="R27" authorId="0" shapeId="0" xr:uid="{00000000-0006-0000-0100-000005000000}">
      <text>
        <r>
          <rPr>
            <b/>
            <sz val="9"/>
            <color indexed="81"/>
            <rFont val="Tahoma"/>
            <family val="2"/>
          </rPr>
          <t>Bailey, Patrick:</t>
        </r>
        <r>
          <rPr>
            <sz val="9"/>
            <color indexed="81"/>
            <rFont val="Tahoma"/>
            <family val="2"/>
          </rPr>
          <t xml:space="preserve">
Formula from page 11 of Tri-State Fertilizer Recs = [(CL-STL)*5]+(YP*CR)
</t>
        </r>
      </text>
    </comment>
    <comment ref="S27" authorId="0" shapeId="0" xr:uid="{00000000-0006-0000-0100-000006000000}">
      <text>
        <r>
          <rPr>
            <b/>
            <sz val="9"/>
            <color indexed="81"/>
            <rFont val="Tahoma"/>
            <family val="2"/>
          </rPr>
          <t>Bailey, Patrick:</t>
        </r>
        <r>
          <rPr>
            <sz val="9"/>
            <color indexed="81"/>
            <rFont val="Tahoma"/>
            <family val="2"/>
          </rPr>
          <t xml:space="preserve">
Formula from page 11 of Tri-State Fertilizer Recs = (YP*CR)</t>
        </r>
      </text>
    </comment>
    <comment ref="T27" authorId="0" shapeId="0" xr:uid="{00000000-0006-0000-0100-000007000000}">
      <text>
        <r>
          <rPr>
            <b/>
            <sz val="9"/>
            <color indexed="81"/>
            <rFont val="Tahoma"/>
            <family val="2"/>
          </rPr>
          <t>Bailey, Patrick:</t>
        </r>
        <r>
          <rPr>
            <sz val="9"/>
            <color indexed="81"/>
            <rFont val="Tahoma"/>
            <family val="2"/>
          </rPr>
          <t xml:space="preserve">
Formula from page 11 of Tri-State Fertilizer Recs = (YP*CR)-[(YP*CR)*(STL-(CL+15))/10]</t>
        </r>
      </text>
    </comment>
    <comment ref="U27" authorId="0" shapeId="0" xr:uid="{00000000-0006-0000-0100-000008000000}">
      <text>
        <r>
          <rPr>
            <b/>
            <sz val="9"/>
            <color indexed="81"/>
            <rFont val="Tahoma"/>
            <family val="2"/>
          </rPr>
          <t>Bailey, Patrick:</t>
        </r>
        <r>
          <rPr>
            <sz val="9"/>
            <color indexed="81"/>
            <rFont val="Tahoma"/>
            <family val="2"/>
          </rPr>
          <t xml:space="preserve">
Based on the Tri-State soil test P range for the particular crop (buildup, maintenance, or drawdown).</t>
        </r>
      </text>
    </comment>
    <comment ref="Y27" authorId="0" shapeId="0" xr:uid="{00000000-0006-0000-0100-000009000000}">
      <text>
        <r>
          <rPr>
            <b/>
            <sz val="9"/>
            <color indexed="81"/>
            <rFont val="Tahoma"/>
            <family val="2"/>
          </rPr>
          <t>Bailey, Patrick:</t>
        </r>
        <r>
          <rPr>
            <sz val="9"/>
            <color indexed="81"/>
            <rFont val="Tahoma"/>
            <family val="2"/>
          </rPr>
          <t xml:space="preserve">
Formula from page 11 of Tri-State Fertilizer Recs = [(CL-STL)*((1+(0.05*CEC))]+(YP*CR)+20)
</t>
        </r>
      </text>
    </comment>
    <comment ref="Z27" authorId="0" shapeId="0" xr:uid="{00000000-0006-0000-0100-00000A000000}">
      <text>
        <r>
          <rPr>
            <b/>
            <sz val="9"/>
            <color indexed="81"/>
            <rFont val="Tahoma"/>
            <family val="2"/>
          </rPr>
          <t>Bailey, Patrick:</t>
        </r>
        <r>
          <rPr>
            <sz val="9"/>
            <color indexed="81"/>
            <rFont val="Tahoma"/>
            <family val="2"/>
          </rPr>
          <t xml:space="preserve">
For non-forage crops, Formula from page 11 of Tri-State Fertilizer Recs = (YP x CR) + 20</t>
        </r>
      </text>
    </comment>
    <comment ref="AA27" authorId="0" shapeId="0" xr:uid="{00000000-0006-0000-0100-00000B000000}">
      <text>
        <r>
          <rPr>
            <b/>
            <sz val="9"/>
            <color indexed="81"/>
            <rFont val="Tahoma"/>
            <family val="2"/>
          </rPr>
          <t>Bailey, Patrick:</t>
        </r>
        <r>
          <rPr>
            <sz val="9"/>
            <color indexed="81"/>
            <rFont val="Tahoma"/>
            <family val="2"/>
          </rPr>
          <t xml:space="preserve">
For non-forage crops, Formula from page 11 of Tri-State Fertilizer Recs = (YP x CR) + 20 - [((YP x CR) x (STL -(CL + 30))/20]</t>
        </r>
      </text>
    </comment>
    <comment ref="AF27" authorId="0" shapeId="0" xr:uid="{00000000-0006-0000-0100-00000C000000}">
      <text>
        <r>
          <rPr>
            <b/>
            <sz val="9"/>
            <color indexed="81"/>
            <rFont val="Tahoma"/>
            <family val="2"/>
          </rPr>
          <t>Bailey, Patrick:</t>
        </r>
        <r>
          <rPr>
            <sz val="9"/>
            <color indexed="81"/>
            <rFont val="Tahoma"/>
            <family val="2"/>
          </rPr>
          <t xml:space="preserve">
Formula from page 11 of Tri-State Fertilizer Recs = [(CL-STL)*5]+(YP*CR)
</t>
        </r>
      </text>
    </comment>
    <comment ref="AG27" authorId="0" shapeId="0" xr:uid="{00000000-0006-0000-0100-00000D000000}">
      <text>
        <r>
          <rPr>
            <b/>
            <sz val="9"/>
            <color indexed="81"/>
            <rFont val="Tahoma"/>
            <family val="2"/>
          </rPr>
          <t>Bailey, Patrick:</t>
        </r>
        <r>
          <rPr>
            <sz val="9"/>
            <color indexed="81"/>
            <rFont val="Tahoma"/>
            <family val="2"/>
          </rPr>
          <t xml:space="preserve">
Formula from page 11 of Tri-State Fertilizer Recs = (YP*CR)</t>
        </r>
      </text>
    </comment>
    <comment ref="AH27" authorId="0" shapeId="0" xr:uid="{00000000-0006-0000-0100-00000E000000}">
      <text>
        <r>
          <rPr>
            <b/>
            <sz val="9"/>
            <color indexed="81"/>
            <rFont val="Tahoma"/>
            <family val="2"/>
          </rPr>
          <t>Bailey, Patrick:</t>
        </r>
        <r>
          <rPr>
            <sz val="9"/>
            <color indexed="81"/>
            <rFont val="Tahoma"/>
            <family val="2"/>
          </rPr>
          <t xml:space="preserve">
Formula from page 11 of Tri-State Fertilizer Recs = (YP*CR)-[(YP*CR)*(STL-(CL+15))/10]</t>
        </r>
      </text>
    </comment>
    <comment ref="AI27" authorId="0" shapeId="0" xr:uid="{00000000-0006-0000-0100-00000F000000}">
      <text>
        <r>
          <rPr>
            <b/>
            <sz val="9"/>
            <color indexed="81"/>
            <rFont val="Tahoma"/>
            <family val="2"/>
          </rPr>
          <t>Bailey, Patrick:</t>
        </r>
        <r>
          <rPr>
            <sz val="9"/>
            <color indexed="81"/>
            <rFont val="Tahoma"/>
            <family val="2"/>
          </rPr>
          <t xml:space="preserve">
Based on the Tri-State soil test P range for the particular crop (buildup, maintenance, or drawdown).</t>
        </r>
      </text>
    </comment>
    <comment ref="AN27" authorId="0" shapeId="0" xr:uid="{00000000-0006-0000-0100-000010000000}">
      <text>
        <r>
          <rPr>
            <b/>
            <sz val="9"/>
            <color indexed="81"/>
            <rFont val="Tahoma"/>
            <family val="2"/>
          </rPr>
          <t>Bailey, Patrick:</t>
        </r>
        <r>
          <rPr>
            <sz val="9"/>
            <color indexed="81"/>
            <rFont val="Tahoma"/>
            <family val="2"/>
          </rPr>
          <t xml:space="preserve">
For non-forage crops, Formula from page 11 of Tri-State Fertilizer Recs = (YP x CR) + 20</t>
        </r>
      </text>
    </comment>
    <comment ref="AO27" authorId="0" shapeId="0" xr:uid="{00000000-0006-0000-0100-000011000000}">
      <text>
        <r>
          <rPr>
            <b/>
            <sz val="9"/>
            <color indexed="81"/>
            <rFont val="Tahoma"/>
            <family val="2"/>
          </rPr>
          <t>Bailey, Patrick:</t>
        </r>
        <r>
          <rPr>
            <sz val="9"/>
            <color indexed="81"/>
            <rFont val="Tahoma"/>
            <family val="2"/>
          </rPr>
          <t xml:space="preserve">
For non-forage crops, Formula from page 11 of Tri-State Fertilizer Recs = (YP x CR) + 20 - [((YP x CR) x (STL -(CL + 30))/20]</t>
        </r>
      </text>
    </comment>
    <comment ref="AT27" authorId="0" shapeId="0" xr:uid="{00000000-0006-0000-0100-000012000000}">
      <text>
        <r>
          <rPr>
            <b/>
            <sz val="9"/>
            <color indexed="81"/>
            <rFont val="Tahoma"/>
            <family val="2"/>
          </rPr>
          <t>Bailey, Patrick:</t>
        </r>
        <r>
          <rPr>
            <sz val="9"/>
            <color indexed="81"/>
            <rFont val="Tahoma"/>
            <family val="2"/>
          </rPr>
          <t xml:space="preserve">
Formula from page 11 of Tri-State Fertilizer Recs = [(CL-STL)*5]+(YP*CR)
</t>
        </r>
      </text>
    </comment>
    <comment ref="AU27" authorId="0" shapeId="0" xr:uid="{00000000-0006-0000-0100-000013000000}">
      <text>
        <r>
          <rPr>
            <b/>
            <sz val="9"/>
            <color indexed="81"/>
            <rFont val="Tahoma"/>
            <family val="2"/>
          </rPr>
          <t>Bailey, Patrick:</t>
        </r>
        <r>
          <rPr>
            <sz val="9"/>
            <color indexed="81"/>
            <rFont val="Tahoma"/>
            <family val="2"/>
          </rPr>
          <t xml:space="preserve">
Formula from page 11 of Tri-State Fertilizer Recs = (YP*CR)</t>
        </r>
      </text>
    </comment>
    <comment ref="AV27" authorId="0" shapeId="0" xr:uid="{00000000-0006-0000-0100-000014000000}">
      <text>
        <r>
          <rPr>
            <b/>
            <sz val="9"/>
            <color indexed="81"/>
            <rFont val="Tahoma"/>
            <family val="2"/>
          </rPr>
          <t>Bailey, Patrick:</t>
        </r>
        <r>
          <rPr>
            <sz val="9"/>
            <color indexed="81"/>
            <rFont val="Tahoma"/>
            <family val="2"/>
          </rPr>
          <t xml:space="preserve">
Formula from page 11 of Tri-State Fertilizer Recs = (YP*CR)-[(YP*CR)*(STL-(CL+15))/10]</t>
        </r>
      </text>
    </comment>
    <comment ref="AW27" authorId="0" shapeId="0" xr:uid="{00000000-0006-0000-0100-000015000000}">
      <text>
        <r>
          <rPr>
            <b/>
            <sz val="9"/>
            <color indexed="81"/>
            <rFont val="Tahoma"/>
            <family val="2"/>
          </rPr>
          <t>Bailey, Patrick:</t>
        </r>
        <r>
          <rPr>
            <sz val="9"/>
            <color indexed="81"/>
            <rFont val="Tahoma"/>
            <family val="2"/>
          </rPr>
          <t xml:space="preserve">
Based on the Tri-State soil test P range for the particular crop (buildup, maintenance, or drawdown).</t>
        </r>
      </text>
    </comment>
    <comment ref="BB27" authorId="0" shapeId="0" xr:uid="{00000000-0006-0000-0100-000016000000}">
      <text>
        <r>
          <rPr>
            <b/>
            <sz val="9"/>
            <color indexed="81"/>
            <rFont val="Tahoma"/>
            <family val="2"/>
          </rPr>
          <t>Bailey, Patrick:</t>
        </r>
        <r>
          <rPr>
            <sz val="9"/>
            <color indexed="81"/>
            <rFont val="Tahoma"/>
            <family val="2"/>
          </rPr>
          <t xml:space="preserve">
For non-forage crops, Formula from page 11 of Tri-State Fertilizer Recs = (YP x CR) + 20</t>
        </r>
      </text>
    </comment>
    <comment ref="BC27" authorId="0" shapeId="0" xr:uid="{00000000-0006-0000-0100-000017000000}">
      <text>
        <r>
          <rPr>
            <b/>
            <sz val="9"/>
            <color indexed="81"/>
            <rFont val="Tahoma"/>
            <family val="2"/>
          </rPr>
          <t>Bailey, Patrick:</t>
        </r>
        <r>
          <rPr>
            <sz val="9"/>
            <color indexed="81"/>
            <rFont val="Tahoma"/>
            <family val="2"/>
          </rPr>
          <t xml:space="preserve">
For non-forage crops, Formula from page 11 of Tri-State Fertilizer Recs = (YP x CR) + 20 - [((YP x CR) x (STL -(CL + 30))/20]</t>
        </r>
      </text>
    </comment>
    <comment ref="BH27" authorId="0" shapeId="0" xr:uid="{00000000-0006-0000-0100-000018000000}">
      <text>
        <r>
          <rPr>
            <b/>
            <sz val="9"/>
            <color indexed="81"/>
            <rFont val="Tahoma"/>
            <family val="2"/>
          </rPr>
          <t>Bailey, Patrick:</t>
        </r>
        <r>
          <rPr>
            <sz val="9"/>
            <color indexed="81"/>
            <rFont val="Tahoma"/>
            <family val="2"/>
          </rPr>
          <t xml:space="preserve">
Formula from page 11 of Tri-State Fertilizer Recs = [(CL-STL)*5]+(YP*CR)
</t>
        </r>
      </text>
    </comment>
    <comment ref="BI27" authorId="0" shapeId="0" xr:uid="{00000000-0006-0000-0100-000019000000}">
      <text>
        <r>
          <rPr>
            <b/>
            <sz val="9"/>
            <color indexed="81"/>
            <rFont val="Tahoma"/>
            <family val="2"/>
          </rPr>
          <t>Bailey, Patrick:</t>
        </r>
        <r>
          <rPr>
            <sz val="9"/>
            <color indexed="81"/>
            <rFont val="Tahoma"/>
            <family val="2"/>
          </rPr>
          <t xml:space="preserve">
Formula from page 11 of Tri-State Fertilizer Recs = (YP*CR)</t>
        </r>
      </text>
    </comment>
    <comment ref="BJ27" authorId="0" shapeId="0" xr:uid="{00000000-0006-0000-0100-00001A000000}">
      <text>
        <r>
          <rPr>
            <b/>
            <sz val="9"/>
            <color indexed="81"/>
            <rFont val="Tahoma"/>
            <family val="2"/>
          </rPr>
          <t>Bailey, Patrick:</t>
        </r>
        <r>
          <rPr>
            <sz val="9"/>
            <color indexed="81"/>
            <rFont val="Tahoma"/>
            <family val="2"/>
          </rPr>
          <t xml:space="preserve">
Formula from page 11 of Tri-State Fertilizer Recs = (YP*CR)-[(YP*CR)*(STL-(CL+15))/10]</t>
        </r>
      </text>
    </comment>
    <comment ref="BK27" authorId="0" shapeId="0" xr:uid="{00000000-0006-0000-0100-00001B000000}">
      <text>
        <r>
          <rPr>
            <b/>
            <sz val="9"/>
            <color indexed="81"/>
            <rFont val="Tahoma"/>
            <family val="2"/>
          </rPr>
          <t>Bailey, Patrick:</t>
        </r>
        <r>
          <rPr>
            <sz val="9"/>
            <color indexed="81"/>
            <rFont val="Tahoma"/>
            <family val="2"/>
          </rPr>
          <t xml:space="preserve">
Based on the Tri-State soil test P range for the particular crop (buildup, maintenance, or drawdown).</t>
        </r>
      </text>
    </comment>
    <comment ref="BP27" authorId="0" shapeId="0" xr:uid="{00000000-0006-0000-0100-00001C000000}">
      <text>
        <r>
          <rPr>
            <b/>
            <sz val="9"/>
            <color indexed="81"/>
            <rFont val="Tahoma"/>
            <family val="2"/>
          </rPr>
          <t>Bailey, Patrick:</t>
        </r>
        <r>
          <rPr>
            <sz val="9"/>
            <color indexed="81"/>
            <rFont val="Tahoma"/>
            <family val="2"/>
          </rPr>
          <t xml:space="preserve">
For non-forage crops, Formula from page 11 of Tri-State Fertilizer Recs = (YP x CR) + 20</t>
        </r>
      </text>
    </comment>
    <comment ref="BQ27" authorId="0" shapeId="0" xr:uid="{00000000-0006-0000-0100-00001D000000}">
      <text>
        <r>
          <rPr>
            <b/>
            <sz val="9"/>
            <color indexed="81"/>
            <rFont val="Tahoma"/>
            <family val="2"/>
          </rPr>
          <t>Bailey, Patrick:</t>
        </r>
        <r>
          <rPr>
            <sz val="9"/>
            <color indexed="81"/>
            <rFont val="Tahoma"/>
            <family val="2"/>
          </rPr>
          <t xml:space="preserve">
For non-forage crops, Formula from page 11 of Tri-State Fertilizer Recs = (YP x CR) + 20 - [((YP x CR) x (STL -(CL + 30))/20]</t>
        </r>
      </text>
    </comment>
    <comment ref="BV27" authorId="0" shapeId="0" xr:uid="{00000000-0006-0000-0100-00001E000000}">
      <text>
        <r>
          <rPr>
            <b/>
            <sz val="9"/>
            <color indexed="81"/>
            <rFont val="Tahoma"/>
            <family val="2"/>
          </rPr>
          <t>Bailey, Patrick:</t>
        </r>
        <r>
          <rPr>
            <sz val="9"/>
            <color indexed="81"/>
            <rFont val="Tahoma"/>
            <family val="2"/>
          </rPr>
          <t xml:space="preserve">
Formula from page 11 of Tri-State Fertilizer Recs = [(CL-STL)*5]+(YP*CR)
</t>
        </r>
      </text>
    </comment>
    <comment ref="BW27" authorId="0" shapeId="0" xr:uid="{00000000-0006-0000-0100-00001F000000}">
      <text>
        <r>
          <rPr>
            <b/>
            <sz val="9"/>
            <color indexed="81"/>
            <rFont val="Tahoma"/>
            <family val="2"/>
          </rPr>
          <t>Bailey, Patrick:</t>
        </r>
        <r>
          <rPr>
            <sz val="9"/>
            <color indexed="81"/>
            <rFont val="Tahoma"/>
            <family val="2"/>
          </rPr>
          <t xml:space="preserve">
Formula from page 11 of Tri-State Fertilizer Recs = (YP*CR)</t>
        </r>
      </text>
    </comment>
    <comment ref="BX27" authorId="0" shapeId="0" xr:uid="{00000000-0006-0000-0100-000020000000}">
      <text>
        <r>
          <rPr>
            <b/>
            <sz val="9"/>
            <color indexed="81"/>
            <rFont val="Tahoma"/>
            <family val="2"/>
          </rPr>
          <t>Bailey, Patrick:</t>
        </r>
        <r>
          <rPr>
            <sz val="9"/>
            <color indexed="81"/>
            <rFont val="Tahoma"/>
            <family val="2"/>
          </rPr>
          <t xml:space="preserve">
Formula from page 11 of Tri-State Fertilizer Recs = (YP*CR)-[(YP*CR)*(STL-(CL+15))/10]</t>
        </r>
      </text>
    </comment>
    <comment ref="BY27" authorId="0" shapeId="0" xr:uid="{00000000-0006-0000-0100-000021000000}">
      <text>
        <r>
          <rPr>
            <b/>
            <sz val="9"/>
            <color indexed="81"/>
            <rFont val="Tahoma"/>
            <family val="2"/>
          </rPr>
          <t>Bailey, Patrick:</t>
        </r>
        <r>
          <rPr>
            <sz val="9"/>
            <color indexed="81"/>
            <rFont val="Tahoma"/>
            <family val="2"/>
          </rPr>
          <t xml:space="preserve">
Based on the Tri-State soil test P range for the particular crop (buildup, maintenance, or drawdown).</t>
        </r>
      </text>
    </comment>
    <comment ref="CD27" authorId="0" shapeId="0" xr:uid="{00000000-0006-0000-0100-000022000000}">
      <text>
        <r>
          <rPr>
            <b/>
            <sz val="9"/>
            <color indexed="81"/>
            <rFont val="Tahoma"/>
            <family val="2"/>
          </rPr>
          <t>Bailey, Patrick:</t>
        </r>
        <r>
          <rPr>
            <sz val="9"/>
            <color indexed="81"/>
            <rFont val="Tahoma"/>
            <family val="2"/>
          </rPr>
          <t xml:space="preserve">
For non-forage crops, Formula from page 11 of Tri-State Fertilizer Recs = (YP x CR) + 20</t>
        </r>
      </text>
    </comment>
    <comment ref="CE27" authorId="0" shapeId="0" xr:uid="{00000000-0006-0000-0100-000023000000}">
      <text>
        <r>
          <rPr>
            <b/>
            <sz val="9"/>
            <color indexed="81"/>
            <rFont val="Tahoma"/>
            <family val="2"/>
          </rPr>
          <t>Bailey, Patrick:</t>
        </r>
        <r>
          <rPr>
            <sz val="9"/>
            <color indexed="81"/>
            <rFont val="Tahoma"/>
            <family val="2"/>
          </rPr>
          <t xml:space="preserve">
For non-forage crops, Formula from page 11 of Tri-State Fertilizer Recs = (YP x CR) + 20 - [((YP x CR) x (STL -(CL + 30))/20]</t>
        </r>
      </text>
    </comment>
    <comment ref="CO29" authorId="0" shapeId="0" xr:uid="{00000000-0006-0000-0100-000024000000}">
      <text>
        <r>
          <rPr>
            <sz val="9"/>
            <color indexed="81"/>
            <rFont val="Tahoma"/>
            <family val="2"/>
          </rPr>
          <t>A note pops up in this cell if the planning period is more than 1 year in length.</t>
        </r>
      </text>
    </comment>
    <comment ref="DJ29" authorId="0" shapeId="0" xr:uid="{00000000-0006-0000-0100-000025000000}">
      <text>
        <r>
          <rPr>
            <b/>
            <sz val="9"/>
            <color indexed="81"/>
            <rFont val="Tahoma"/>
            <family val="2"/>
          </rPr>
          <t>Bailey, Patrick:</t>
        </r>
        <r>
          <rPr>
            <sz val="9"/>
            <color indexed="81"/>
            <rFont val="Tahoma"/>
            <family val="2"/>
          </rPr>
          <t xml:space="preserve">
The CL and Maint. Limits are based on the crops in the rotation.
</t>
        </r>
      </text>
    </comment>
    <comment ref="Q30" authorId="0" shapeId="0" xr:uid="{00000000-0006-0000-0100-000026000000}">
      <text>
        <r>
          <rPr>
            <b/>
            <sz val="9"/>
            <color indexed="81"/>
            <rFont val="Tahoma"/>
            <family val="2"/>
          </rPr>
          <t>Bailey, Patrick:</t>
        </r>
        <r>
          <rPr>
            <sz val="9"/>
            <color indexed="81"/>
            <rFont val="Tahoma"/>
            <family val="2"/>
          </rPr>
          <t xml:space="preserve">
Grain removal plus stover removal. Corn Stover Removal Calcs based on information from Purdue University Department of Agronomy. 
http://www.agry.purdue.edu/ext/corn/news/articles.08/StoverNutrients-1010.html</t>
        </r>
      </text>
    </comment>
    <comment ref="X30" authorId="0" shapeId="0" xr:uid="{00000000-0006-0000-0100-000027000000}">
      <text>
        <r>
          <rPr>
            <b/>
            <sz val="9"/>
            <color indexed="81"/>
            <rFont val="Tahoma"/>
            <family val="2"/>
          </rPr>
          <t>Bailey, Patrick:</t>
        </r>
        <r>
          <rPr>
            <sz val="9"/>
            <color indexed="81"/>
            <rFont val="Tahoma"/>
            <family val="2"/>
          </rPr>
          <t xml:space="preserve">
Grain removal plus stover removal</t>
        </r>
      </text>
    </comment>
    <comment ref="AE30" authorId="0" shapeId="0" xr:uid="{00000000-0006-0000-0100-000028000000}">
      <text>
        <r>
          <rPr>
            <b/>
            <sz val="9"/>
            <color indexed="81"/>
            <rFont val="Tahoma"/>
            <family val="2"/>
          </rPr>
          <t>Bailey, Patrick:</t>
        </r>
        <r>
          <rPr>
            <sz val="9"/>
            <color indexed="81"/>
            <rFont val="Tahoma"/>
            <family val="2"/>
          </rPr>
          <t xml:space="preserve">
Grain removal plus stover removal</t>
        </r>
      </text>
    </comment>
    <comment ref="AL30" authorId="0" shapeId="0" xr:uid="{00000000-0006-0000-0100-000029000000}">
      <text>
        <r>
          <rPr>
            <b/>
            <sz val="9"/>
            <color indexed="81"/>
            <rFont val="Tahoma"/>
            <family val="2"/>
          </rPr>
          <t>Bailey, Patrick:</t>
        </r>
        <r>
          <rPr>
            <sz val="9"/>
            <color indexed="81"/>
            <rFont val="Tahoma"/>
            <family val="2"/>
          </rPr>
          <t xml:space="preserve">
Grain removal plus stover removal</t>
        </r>
      </text>
    </comment>
    <comment ref="AS30" authorId="0" shapeId="0" xr:uid="{00000000-0006-0000-0100-00002A000000}">
      <text>
        <r>
          <rPr>
            <b/>
            <sz val="9"/>
            <color indexed="81"/>
            <rFont val="Tahoma"/>
            <family val="2"/>
          </rPr>
          <t>Bailey, Patrick:</t>
        </r>
        <r>
          <rPr>
            <sz val="9"/>
            <color indexed="81"/>
            <rFont val="Tahoma"/>
            <family val="2"/>
          </rPr>
          <t xml:space="preserve">
Grain removal plus stover removal</t>
        </r>
      </text>
    </comment>
    <comment ref="AZ30" authorId="0" shapeId="0" xr:uid="{00000000-0006-0000-0100-00002B000000}">
      <text>
        <r>
          <rPr>
            <b/>
            <sz val="9"/>
            <color indexed="81"/>
            <rFont val="Tahoma"/>
            <family val="2"/>
          </rPr>
          <t>Bailey, Patrick:</t>
        </r>
        <r>
          <rPr>
            <sz val="9"/>
            <color indexed="81"/>
            <rFont val="Tahoma"/>
            <family val="2"/>
          </rPr>
          <t xml:space="preserve">
Grain removal plus stover removal</t>
        </r>
      </text>
    </comment>
    <comment ref="BG30" authorId="0" shapeId="0" xr:uid="{00000000-0006-0000-0100-00002C000000}">
      <text>
        <r>
          <rPr>
            <b/>
            <sz val="9"/>
            <color indexed="81"/>
            <rFont val="Tahoma"/>
            <family val="2"/>
          </rPr>
          <t>Bailey, Patrick:</t>
        </r>
        <r>
          <rPr>
            <sz val="9"/>
            <color indexed="81"/>
            <rFont val="Tahoma"/>
            <family val="2"/>
          </rPr>
          <t xml:space="preserve">
Grain removal plus stover removal</t>
        </r>
      </text>
    </comment>
    <comment ref="BN30" authorId="0" shapeId="0" xr:uid="{00000000-0006-0000-0100-00002D000000}">
      <text>
        <r>
          <rPr>
            <b/>
            <sz val="9"/>
            <color indexed="81"/>
            <rFont val="Tahoma"/>
            <family val="2"/>
          </rPr>
          <t>Bailey, Patrick:</t>
        </r>
        <r>
          <rPr>
            <sz val="9"/>
            <color indexed="81"/>
            <rFont val="Tahoma"/>
            <family val="2"/>
          </rPr>
          <t xml:space="preserve">
Grain removal plus stover removal</t>
        </r>
      </text>
    </comment>
    <comment ref="BU30" authorId="0" shapeId="0" xr:uid="{00000000-0006-0000-0100-00002E000000}">
      <text>
        <r>
          <rPr>
            <b/>
            <sz val="9"/>
            <color indexed="81"/>
            <rFont val="Tahoma"/>
            <family val="2"/>
          </rPr>
          <t>Bailey, Patrick:</t>
        </r>
        <r>
          <rPr>
            <sz val="9"/>
            <color indexed="81"/>
            <rFont val="Tahoma"/>
            <family val="2"/>
          </rPr>
          <t xml:space="preserve">
Grain removal plus stover removal</t>
        </r>
      </text>
    </comment>
    <comment ref="CB30" authorId="0" shapeId="0" xr:uid="{00000000-0006-0000-0100-00002F000000}">
      <text>
        <r>
          <rPr>
            <b/>
            <sz val="9"/>
            <color indexed="81"/>
            <rFont val="Tahoma"/>
            <family val="2"/>
          </rPr>
          <t>Bailey, Patrick:</t>
        </r>
        <r>
          <rPr>
            <sz val="9"/>
            <color indexed="81"/>
            <rFont val="Tahoma"/>
            <family val="2"/>
          </rPr>
          <t xml:space="preserve">
Grain removal plus stover removal</t>
        </r>
      </text>
    </comment>
    <comment ref="Q31" authorId="0" shapeId="0" xr:uid="{00000000-0006-0000-0100-000030000000}">
      <text>
        <r>
          <rPr>
            <b/>
            <sz val="9"/>
            <color indexed="81"/>
            <rFont val="Tahoma"/>
            <family val="2"/>
          </rPr>
          <t>Bailey, Patrick:</t>
        </r>
        <r>
          <rPr>
            <sz val="9"/>
            <color indexed="81"/>
            <rFont val="Tahoma"/>
            <family val="2"/>
          </rPr>
          <t xml:space="preserve">
Grain removal plus stover removal. Corn Stover Removal Calcs based on information from Purdue University Department of Agronomy. 
http://www.agry.purdue.edu/ext/corn/news/articles.08/StoverNutrients-1010.html</t>
        </r>
      </text>
    </comment>
    <comment ref="X31" authorId="0" shapeId="0" xr:uid="{00000000-0006-0000-0100-000031000000}">
      <text>
        <r>
          <rPr>
            <b/>
            <sz val="9"/>
            <color indexed="81"/>
            <rFont val="Tahoma"/>
            <family val="2"/>
          </rPr>
          <t>Bailey, Patrick:</t>
        </r>
        <r>
          <rPr>
            <sz val="9"/>
            <color indexed="81"/>
            <rFont val="Tahoma"/>
            <family val="2"/>
          </rPr>
          <t xml:space="preserve">
Grain removal plus stover removal</t>
        </r>
      </text>
    </comment>
    <comment ref="AE31" authorId="0" shapeId="0" xr:uid="{00000000-0006-0000-0100-000032000000}">
      <text>
        <r>
          <rPr>
            <b/>
            <sz val="9"/>
            <color indexed="81"/>
            <rFont val="Tahoma"/>
            <family val="2"/>
          </rPr>
          <t>Bailey, Patrick:</t>
        </r>
        <r>
          <rPr>
            <sz val="9"/>
            <color indexed="81"/>
            <rFont val="Tahoma"/>
            <family val="2"/>
          </rPr>
          <t xml:space="preserve">
Grain removal plus stover removal</t>
        </r>
      </text>
    </comment>
    <comment ref="AL31" authorId="0" shapeId="0" xr:uid="{00000000-0006-0000-0100-000033000000}">
      <text>
        <r>
          <rPr>
            <b/>
            <sz val="9"/>
            <color indexed="81"/>
            <rFont val="Tahoma"/>
            <family val="2"/>
          </rPr>
          <t>Bailey, Patrick:</t>
        </r>
        <r>
          <rPr>
            <sz val="9"/>
            <color indexed="81"/>
            <rFont val="Tahoma"/>
            <family val="2"/>
          </rPr>
          <t xml:space="preserve">
Grain removal plus stover removal</t>
        </r>
      </text>
    </comment>
    <comment ref="AS31" authorId="0" shapeId="0" xr:uid="{00000000-0006-0000-0100-000034000000}">
      <text>
        <r>
          <rPr>
            <b/>
            <sz val="9"/>
            <color indexed="81"/>
            <rFont val="Tahoma"/>
            <family val="2"/>
          </rPr>
          <t>Bailey, Patrick:</t>
        </r>
        <r>
          <rPr>
            <sz val="9"/>
            <color indexed="81"/>
            <rFont val="Tahoma"/>
            <family val="2"/>
          </rPr>
          <t xml:space="preserve">
Grain removal plus stover removal</t>
        </r>
      </text>
    </comment>
    <comment ref="AZ31" authorId="0" shapeId="0" xr:uid="{00000000-0006-0000-0100-000035000000}">
      <text>
        <r>
          <rPr>
            <b/>
            <sz val="9"/>
            <color indexed="81"/>
            <rFont val="Tahoma"/>
            <family val="2"/>
          </rPr>
          <t>Bailey, Patrick:</t>
        </r>
        <r>
          <rPr>
            <sz val="9"/>
            <color indexed="81"/>
            <rFont val="Tahoma"/>
            <family val="2"/>
          </rPr>
          <t xml:space="preserve">
Grain removal plus stover removal</t>
        </r>
      </text>
    </comment>
    <comment ref="BG31" authorId="0" shapeId="0" xr:uid="{00000000-0006-0000-0100-000036000000}">
      <text>
        <r>
          <rPr>
            <b/>
            <sz val="9"/>
            <color indexed="81"/>
            <rFont val="Tahoma"/>
            <family val="2"/>
          </rPr>
          <t>Bailey, Patrick:</t>
        </r>
        <r>
          <rPr>
            <sz val="9"/>
            <color indexed="81"/>
            <rFont val="Tahoma"/>
            <family val="2"/>
          </rPr>
          <t xml:space="preserve">
Grain removal plus stover removal</t>
        </r>
      </text>
    </comment>
    <comment ref="BN31" authorId="0" shapeId="0" xr:uid="{00000000-0006-0000-0100-000037000000}">
      <text>
        <r>
          <rPr>
            <b/>
            <sz val="9"/>
            <color indexed="81"/>
            <rFont val="Tahoma"/>
            <family val="2"/>
          </rPr>
          <t>Bailey, Patrick:</t>
        </r>
        <r>
          <rPr>
            <sz val="9"/>
            <color indexed="81"/>
            <rFont val="Tahoma"/>
            <family val="2"/>
          </rPr>
          <t xml:space="preserve">
Grain removal plus stover removal</t>
        </r>
      </text>
    </comment>
    <comment ref="BU31" authorId="0" shapeId="0" xr:uid="{00000000-0006-0000-0100-000038000000}">
      <text>
        <r>
          <rPr>
            <b/>
            <sz val="9"/>
            <color indexed="81"/>
            <rFont val="Tahoma"/>
            <family val="2"/>
          </rPr>
          <t>Bailey, Patrick:</t>
        </r>
        <r>
          <rPr>
            <sz val="9"/>
            <color indexed="81"/>
            <rFont val="Tahoma"/>
            <family val="2"/>
          </rPr>
          <t xml:space="preserve">
Grain removal plus stover removal</t>
        </r>
      </text>
    </comment>
    <comment ref="CB31" authorId="0" shapeId="0" xr:uid="{00000000-0006-0000-0100-000039000000}">
      <text>
        <r>
          <rPr>
            <b/>
            <sz val="9"/>
            <color indexed="81"/>
            <rFont val="Tahoma"/>
            <family val="2"/>
          </rPr>
          <t>Bailey, Patrick:</t>
        </r>
        <r>
          <rPr>
            <sz val="9"/>
            <color indexed="81"/>
            <rFont val="Tahoma"/>
            <family val="2"/>
          </rPr>
          <t xml:space="preserve">
Grain removal plus stover removal</t>
        </r>
      </text>
    </comment>
    <comment ref="M32" authorId="0" shapeId="0" xr:uid="{00000000-0006-0000-0100-00003A000000}">
      <text>
        <r>
          <rPr>
            <b/>
            <sz val="9"/>
            <color indexed="81"/>
            <rFont val="Tahoma"/>
            <family val="2"/>
          </rPr>
          <t>Bailey, Patrick:</t>
        </r>
        <r>
          <rPr>
            <sz val="9"/>
            <color indexed="81"/>
            <rFont val="Tahoma"/>
            <family val="2"/>
          </rPr>
          <t xml:space="preserve">
Tri-State pg 9, note 2 - 1 ton/ac silage=6 bu/ac grain for N Recs</t>
        </r>
      </text>
    </comment>
    <comment ref="Z32" authorId="0" shapeId="0" xr:uid="{00000000-0006-0000-0100-00003B000000}">
      <text>
        <r>
          <rPr>
            <b/>
            <sz val="9"/>
            <color indexed="81"/>
            <rFont val="Tahoma"/>
            <family val="2"/>
          </rPr>
          <t>Bailey, Patrick:</t>
        </r>
        <r>
          <rPr>
            <sz val="9"/>
            <color indexed="81"/>
            <rFont val="Tahoma"/>
            <family val="2"/>
          </rPr>
          <t xml:space="preserve">
Forage Crop Mainteance &amp; Drawdown Rate (same rate for both)</t>
        </r>
      </text>
    </comment>
    <comment ref="AA32" authorId="0" shapeId="0" xr:uid="{00000000-0006-0000-0100-00003C000000}">
      <text>
        <r>
          <rPr>
            <b/>
            <sz val="9"/>
            <color indexed="81"/>
            <rFont val="Tahoma"/>
            <family val="2"/>
          </rPr>
          <t>Bailey, Patrick:</t>
        </r>
        <r>
          <rPr>
            <sz val="9"/>
            <color indexed="81"/>
            <rFont val="Tahoma"/>
            <family val="2"/>
          </rPr>
          <t xml:space="preserve">
Forage Crop Mainteance &amp; Drawdown Rate (same rate for both)</t>
        </r>
      </text>
    </comment>
    <comment ref="AN32" authorId="0" shapeId="0" xr:uid="{00000000-0006-0000-0100-00003D000000}">
      <text>
        <r>
          <rPr>
            <b/>
            <sz val="9"/>
            <color indexed="81"/>
            <rFont val="Tahoma"/>
            <family val="2"/>
          </rPr>
          <t>Bailey, Patrick:</t>
        </r>
        <r>
          <rPr>
            <sz val="9"/>
            <color indexed="81"/>
            <rFont val="Tahoma"/>
            <family val="2"/>
          </rPr>
          <t xml:space="preserve">
Forage Crop Mainteance &amp; Drawdown Rate (same rate for both)</t>
        </r>
      </text>
    </comment>
    <comment ref="AO32" authorId="0" shapeId="0" xr:uid="{00000000-0006-0000-0100-00003E000000}">
      <text>
        <r>
          <rPr>
            <b/>
            <sz val="9"/>
            <color indexed="81"/>
            <rFont val="Tahoma"/>
            <family val="2"/>
          </rPr>
          <t>Bailey, Patrick:</t>
        </r>
        <r>
          <rPr>
            <sz val="9"/>
            <color indexed="81"/>
            <rFont val="Tahoma"/>
            <family val="2"/>
          </rPr>
          <t xml:space="preserve">
Forage Crop Mainteance &amp; Drawdown Rate (same rate for both)</t>
        </r>
      </text>
    </comment>
    <comment ref="BB32" authorId="0" shapeId="0" xr:uid="{00000000-0006-0000-0100-00003F000000}">
      <text>
        <r>
          <rPr>
            <b/>
            <sz val="9"/>
            <color indexed="81"/>
            <rFont val="Tahoma"/>
            <family val="2"/>
          </rPr>
          <t>Bailey, Patrick:</t>
        </r>
        <r>
          <rPr>
            <sz val="9"/>
            <color indexed="81"/>
            <rFont val="Tahoma"/>
            <family val="2"/>
          </rPr>
          <t xml:space="preserve">
Forage Crop Mainteance &amp; Drawdown Rate (same rate for both)</t>
        </r>
      </text>
    </comment>
    <comment ref="BC32" authorId="0" shapeId="0" xr:uid="{00000000-0006-0000-0100-000040000000}">
      <text>
        <r>
          <rPr>
            <b/>
            <sz val="9"/>
            <color indexed="81"/>
            <rFont val="Tahoma"/>
            <family val="2"/>
          </rPr>
          <t>Bailey, Patrick:</t>
        </r>
        <r>
          <rPr>
            <sz val="9"/>
            <color indexed="81"/>
            <rFont val="Tahoma"/>
            <family val="2"/>
          </rPr>
          <t xml:space="preserve">
Forage Crop Mainteance &amp; Drawdown Rate (same rate for both)</t>
        </r>
      </text>
    </comment>
    <comment ref="BP32" authorId="0" shapeId="0" xr:uid="{00000000-0006-0000-0100-000041000000}">
      <text>
        <r>
          <rPr>
            <b/>
            <sz val="9"/>
            <color indexed="81"/>
            <rFont val="Tahoma"/>
            <family val="2"/>
          </rPr>
          <t>Bailey, Patrick:</t>
        </r>
        <r>
          <rPr>
            <sz val="9"/>
            <color indexed="81"/>
            <rFont val="Tahoma"/>
            <family val="2"/>
          </rPr>
          <t xml:space="preserve">
Forage Crop Mainteance &amp; Drawdown Rate (same rate for both)</t>
        </r>
      </text>
    </comment>
    <comment ref="BQ32" authorId="0" shapeId="0" xr:uid="{00000000-0006-0000-0100-000042000000}">
      <text>
        <r>
          <rPr>
            <b/>
            <sz val="9"/>
            <color indexed="81"/>
            <rFont val="Tahoma"/>
            <family val="2"/>
          </rPr>
          <t>Bailey, Patrick:</t>
        </r>
        <r>
          <rPr>
            <sz val="9"/>
            <color indexed="81"/>
            <rFont val="Tahoma"/>
            <family val="2"/>
          </rPr>
          <t xml:space="preserve">
Forage Crop Mainteance &amp; Drawdown Rate (same rate for both)</t>
        </r>
      </text>
    </comment>
    <comment ref="CD32" authorId="0" shapeId="0" xr:uid="{00000000-0006-0000-0100-000043000000}">
      <text>
        <r>
          <rPr>
            <b/>
            <sz val="9"/>
            <color indexed="81"/>
            <rFont val="Tahoma"/>
            <family val="2"/>
          </rPr>
          <t>Bailey, Patrick:</t>
        </r>
        <r>
          <rPr>
            <sz val="9"/>
            <color indexed="81"/>
            <rFont val="Tahoma"/>
            <family val="2"/>
          </rPr>
          <t xml:space="preserve">
Forage Crop Mainteance &amp; Drawdown Rate (same rate for both)</t>
        </r>
      </text>
    </comment>
    <comment ref="CE32" authorId="0" shapeId="0" xr:uid="{00000000-0006-0000-0100-000044000000}">
      <text>
        <r>
          <rPr>
            <b/>
            <sz val="9"/>
            <color indexed="81"/>
            <rFont val="Tahoma"/>
            <family val="2"/>
          </rPr>
          <t>Bailey, Patrick:</t>
        </r>
        <r>
          <rPr>
            <sz val="9"/>
            <color indexed="81"/>
            <rFont val="Tahoma"/>
            <family val="2"/>
          </rPr>
          <t xml:space="preserve">
Forage Crop Mainteance &amp; Drawdown Rate (same rate for both)</t>
        </r>
      </text>
    </comment>
    <comment ref="Z33" authorId="0" shapeId="0" xr:uid="{00000000-0006-0000-0100-000045000000}">
      <text>
        <r>
          <rPr>
            <b/>
            <sz val="9"/>
            <color indexed="81"/>
            <rFont val="Tahoma"/>
            <family val="2"/>
          </rPr>
          <t>Bailey, Patrick:</t>
        </r>
        <r>
          <rPr>
            <sz val="9"/>
            <color indexed="81"/>
            <rFont val="Tahoma"/>
            <family val="2"/>
          </rPr>
          <t xml:space="preserve">
Forage Crop Mainteance &amp; Drawdown Rate (same rate for both)</t>
        </r>
      </text>
    </comment>
    <comment ref="AA33" authorId="0" shapeId="0" xr:uid="{00000000-0006-0000-0100-000046000000}">
      <text>
        <r>
          <rPr>
            <b/>
            <sz val="9"/>
            <color indexed="81"/>
            <rFont val="Tahoma"/>
            <family val="2"/>
          </rPr>
          <t>Bailey, Patrick:</t>
        </r>
        <r>
          <rPr>
            <sz val="9"/>
            <color indexed="81"/>
            <rFont val="Tahoma"/>
            <family val="2"/>
          </rPr>
          <t xml:space="preserve">
Forage Crop Mainteance &amp; Drawdown Rate (same rate for both)</t>
        </r>
      </text>
    </comment>
    <comment ref="AN33" authorId="0" shapeId="0" xr:uid="{00000000-0006-0000-0100-000047000000}">
      <text>
        <r>
          <rPr>
            <b/>
            <sz val="9"/>
            <color indexed="81"/>
            <rFont val="Tahoma"/>
            <family val="2"/>
          </rPr>
          <t>Bailey, Patrick:</t>
        </r>
        <r>
          <rPr>
            <sz val="9"/>
            <color indexed="81"/>
            <rFont val="Tahoma"/>
            <family val="2"/>
          </rPr>
          <t xml:space="preserve">
Forage Crop Mainteance &amp; Drawdown Rate (same rate for both)</t>
        </r>
      </text>
    </comment>
    <comment ref="AO33" authorId="0" shapeId="0" xr:uid="{00000000-0006-0000-0100-000048000000}">
      <text>
        <r>
          <rPr>
            <b/>
            <sz val="9"/>
            <color indexed="81"/>
            <rFont val="Tahoma"/>
            <family val="2"/>
          </rPr>
          <t>Bailey, Patrick:</t>
        </r>
        <r>
          <rPr>
            <sz val="9"/>
            <color indexed="81"/>
            <rFont val="Tahoma"/>
            <family val="2"/>
          </rPr>
          <t xml:space="preserve">
Forage Crop Mainteance &amp; Drawdown Rate (same rate for both)</t>
        </r>
      </text>
    </comment>
    <comment ref="BB33" authorId="0" shapeId="0" xr:uid="{00000000-0006-0000-0100-000049000000}">
      <text>
        <r>
          <rPr>
            <b/>
            <sz val="9"/>
            <color indexed="81"/>
            <rFont val="Tahoma"/>
            <family val="2"/>
          </rPr>
          <t>Bailey, Patrick:</t>
        </r>
        <r>
          <rPr>
            <sz val="9"/>
            <color indexed="81"/>
            <rFont val="Tahoma"/>
            <family val="2"/>
          </rPr>
          <t xml:space="preserve">
Forage Crop Mainteance &amp; Drawdown Rate (same rate for both)</t>
        </r>
      </text>
    </comment>
    <comment ref="BC33" authorId="0" shapeId="0" xr:uid="{00000000-0006-0000-0100-00004A000000}">
      <text>
        <r>
          <rPr>
            <b/>
            <sz val="9"/>
            <color indexed="81"/>
            <rFont val="Tahoma"/>
            <family val="2"/>
          </rPr>
          <t>Bailey, Patrick:</t>
        </r>
        <r>
          <rPr>
            <sz val="9"/>
            <color indexed="81"/>
            <rFont val="Tahoma"/>
            <family val="2"/>
          </rPr>
          <t xml:space="preserve">
Forage Crop Mainteance &amp; Drawdown Rate (same rate for both)</t>
        </r>
      </text>
    </comment>
    <comment ref="BP33" authorId="0" shapeId="0" xr:uid="{00000000-0006-0000-0100-00004B000000}">
      <text>
        <r>
          <rPr>
            <b/>
            <sz val="9"/>
            <color indexed="81"/>
            <rFont val="Tahoma"/>
            <family val="2"/>
          </rPr>
          <t>Bailey, Patrick:</t>
        </r>
        <r>
          <rPr>
            <sz val="9"/>
            <color indexed="81"/>
            <rFont val="Tahoma"/>
            <family val="2"/>
          </rPr>
          <t xml:space="preserve">
Forage Crop Mainteance &amp; Drawdown Rate (same rate for both)</t>
        </r>
      </text>
    </comment>
    <comment ref="BQ33" authorId="0" shapeId="0" xr:uid="{00000000-0006-0000-0100-00004C000000}">
      <text>
        <r>
          <rPr>
            <b/>
            <sz val="9"/>
            <color indexed="81"/>
            <rFont val="Tahoma"/>
            <family val="2"/>
          </rPr>
          <t>Bailey, Patrick:</t>
        </r>
        <r>
          <rPr>
            <sz val="9"/>
            <color indexed="81"/>
            <rFont val="Tahoma"/>
            <family val="2"/>
          </rPr>
          <t xml:space="preserve">
Forage Crop Mainteance &amp; Drawdown Rate (same rate for both)</t>
        </r>
      </text>
    </comment>
    <comment ref="CD33" authorId="0" shapeId="0" xr:uid="{00000000-0006-0000-0100-00004D000000}">
      <text>
        <r>
          <rPr>
            <b/>
            <sz val="9"/>
            <color indexed="81"/>
            <rFont val="Tahoma"/>
            <family val="2"/>
          </rPr>
          <t>Bailey, Patrick:</t>
        </r>
        <r>
          <rPr>
            <sz val="9"/>
            <color indexed="81"/>
            <rFont val="Tahoma"/>
            <family val="2"/>
          </rPr>
          <t xml:space="preserve">
Forage Crop Mainteance &amp; Drawdown Rate (same rate for both)</t>
        </r>
      </text>
    </comment>
    <comment ref="CE33" authorId="0" shapeId="0" xr:uid="{00000000-0006-0000-0100-00004E000000}">
      <text>
        <r>
          <rPr>
            <b/>
            <sz val="9"/>
            <color indexed="81"/>
            <rFont val="Tahoma"/>
            <family val="2"/>
          </rPr>
          <t>Bailey, Patrick:</t>
        </r>
        <r>
          <rPr>
            <sz val="9"/>
            <color indexed="81"/>
            <rFont val="Tahoma"/>
            <family val="2"/>
          </rPr>
          <t xml:space="preserve">
Forage Crop Mainteance &amp; Drawdown Rate (same rate for both)</t>
        </r>
      </text>
    </comment>
    <comment ref="O34" authorId="1" shapeId="0" xr:uid="{00000000-0006-0000-0100-00004F000000}">
      <text>
        <r>
          <rPr>
            <b/>
            <sz val="9"/>
            <color indexed="81"/>
            <rFont val="Tahoma"/>
            <family val="2"/>
          </rPr>
          <t>Livestock:</t>
        </r>
        <r>
          <rPr>
            <sz val="9"/>
            <color indexed="81"/>
            <rFont val="Tahoma"/>
            <family val="2"/>
          </rPr>
          <t xml:space="preserve">
Up to 150 lbs manure  N/ac allowed under NRCS 590
</t>
        </r>
      </text>
    </comment>
    <comment ref="P34" authorId="1" shapeId="0" xr:uid="{00000000-0006-0000-0100-000050000000}">
      <text>
        <r>
          <rPr>
            <b/>
            <sz val="9"/>
            <color indexed="81"/>
            <rFont val="Tahoma"/>
            <family val="2"/>
          </rPr>
          <t>Livestock:</t>
        </r>
        <r>
          <rPr>
            <sz val="9"/>
            <color indexed="81"/>
            <rFont val="Tahoma"/>
            <family val="2"/>
          </rPr>
          <t xml:space="preserve">
No N Recommended for legumes</t>
        </r>
      </text>
    </comment>
    <comment ref="O35" authorId="1" shapeId="0" xr:uid="{00000000-0006-0000-0100-000051000000}">
      <text>
        <r>
          <rPr>
            <b/>
            <sz val="9"/>
            <color indexed="81"/>
            <rFont val="Tahoma"/>
            <family val="2"/>
          </rPr>
          <t>Livestock:</t>
        </r>
        <r>
          <rPr>
            <sz val="9"/>
            <color indexed="81"/>
            <rFont val="Tahoma"/>
            <family val="2"/>
          </rPr>
          <t xml:space="preserve">
Up to 150 lbs manure  N/ac allowed under NRCS 590
</t>
        </r>
      </text>
    </comment>
    <comment ref="P35" authorId="1" shapeId="0" xr:uid="{00000000-0006-0000-0100-000052000000}">
      <text>
        <r>
          <rPr>
            <b/>
            <sz val="9"/>
            <color indexed="81"/>
            <rFont val="Tahoma"/>
            <family val="2"/>
          </rPr>
          <t>Livestock:</t>
        </r>
        <r>
          <rPr>
            <sz val="9"/>
            <color indexed="81"/>
            <rFont val="Tahoma"/>
            <family val="2"/>
          </rPr>
          <t xml:space="preserve">
No N Recommended for legumes</t>
        </r>
      </text>
    </comment>
    <comment ref="Q35" authorId="0" shapeId="0" xr:uid="{00000000-0006-0000-0100-000053000000}">
      <text>
        <r>
          <rPr>
            <b/>
            <sz val="9"/>
            <color indexed="81"/>
            <rFont val="Tahoma"/>
            <family val="2"/>
          </rPr>
          <t>Bailey, Patrick:</t>
        </r>
        <r>
          <rPr>
            <sz val="9"/>
            <color indexed="81"/>
            <rFont val="Tahoma"/>
            <family val="2"/>
          </rPr>
          <t xml:space="preserve">
Grain removal plus stover removal. Soybean Stover Removal Calcs based on information from AgPhD (values courtesy of International Plant Nutrition Institute (IPNI). 
http://www.agphd.com/resources/nutrient-removal-charts/soybean-grain-and-stover-nutrient-removal-charts/</t>
        </r>
      </text>
    </comment>
    <comment ref="CP35" authorId="0" shapeId="0" xr:uid="{00000000-0006-0000-0100-000054000000}">
      <text>
        <r>
          <rPr>
            <sz val="9"/>
            <color indexed="81"/>
            <rFont val="Tahoma"/>
            <family val="2"/>
          </rPr>
          <t>A note pops up in this cell if additional P2O5 will be needed in later years of the planning period in order to satsify the fertilizer recommendations for the proposed crop rotation.</t>
        </r>
      </text>
    </comment>
    <comment ref="O38" authorId="1" shapeId="0" xr:uid="{00000000-0006-0000-0100-000055000000}">
      <text>
        <r>
          <rPr>
            <b/>
            <sz val="9"/>
            <color indexed="81"/>
            <rFont val="Tahoma"/>
            <family val="2"/>
          </rPr>
          <t>Livestock:</t>
        </r>
        <r>
          <rPr>
            <sz val="9"/>
            <color indexed="81"/>
            <rFont val="Tahoma"/>
            <family val="2"/>
          </rPr>
          <t xml:space="preserve">
Up to 150 lbs manure  N/ac allowed under NRCS 590
</t>
        </r>
      </text>
    </comment>
    <comment ref="P38" authorId="1" shapeId="0" xr:uid="{00000000-0006-0000-0100-000056000000}">
      <text>
        <r>
          <rPr>
            <b/>
            <sz val="9"/>
            <color indexed="81"/>
            <rFont val="Tahoma"/>
            <family val="2"/>
          </rPr>
          <t>Livestock:</t>
        </r>
        <r>
          <rPr>
            <sz val="9"/>
            <color indexed="81"/>
            <rFont val="Tahoma"/>
            <family val="2"/>
          </rPr>
          <t xml:space="preserve">
No N Recommended for legumes</t>
        </r>
      </text>
    </comment>
    <comment ref="R38" authorId="0" shapeId="0" xr:uid="{00000000-0006-0000-0100-000057000000}">
      <text>
        <r>
          <rPr>
            <b/>
            <sz val="9"/>
            <color indexed="81"/>
            <rFont val="Tahoma"/>
            <family val="2"/>
          </rPr>
          <t>Bailey, Patrick:</t>
        </r>
        <r>
          <rPr>
            <sz val="9"/>
            <color indexed="81"/>
            <rFont val="Tahoma"/>
            <family val="2"/>
          </rPr>
          <t xml:space="preserve">
Forage Crop build-up rate</t>
        </r>
      </text>
    </comment>
    <comment ref="Z38" authorId="0" shapeId="0" xr:uid="{00000000-0006-0000-0100-000058000000}">
      <text>
        <r>
          <rPr>
            <b/>
            <sz val="9"/>
            <color indexed="81"/>
            <rFont val="Tahoma"/>
            <family val="2"/>
          </rPr>
          <t>Bailey, Patrick:</t>
        </r>
        <r>
          <rPr>
            <sz val="9"/>
            <color indexed="81"/>
            <rFont val="Tahoma"/>
            <family val="2"/>
          </rPr>
          <t xml:space="preserve">
Forage Crop Mainteance &amp; Drawdown Rate (same rate for both)</t>
        </r>
      </text>
    </comment>
    <comment ref="AA38" authorId="0" shapeId="0" xr:uid="{00000000-0006-0000-0100-000059000000}">
      <text>
        <r>
          <rPr>
            <b/>
            <sz val="9"/>
            <color indexed="81"/>
            <rFont val="Tahoma"/>
            <family val="2"/>
          </rPr>
          <t>Bailey, Patrick:</t>
        </r>
        <r>
          <rPr>
            <sz val="9"/>
            <color indexed="81"/>
            <rFont val="Tahoma"/>
            <family val="2"/>
          </rPr>
          <t xml:space="preserve">
Forage Crop Mainteance &amp; Drawdown Rate (same rate for both)</t>
        </r>
      </text>
    </comment>
    <comment ref="AF38" authorId="0" shapeId="0" xr:uid="{00000000-0006-0000-0100-00005A000000}">
      <text>
        <r>
          <rPr>
            <b/>
            <sz val="9"/>
            <color indexed="81"/>
            <rFont val="Tahoma"/>
            <family val="2"/>
          </rPr>
          <t>Bailey, Patrick:</t>
        </r>
        <r>
          <rPr>
            <sz val="9"/>
            <color indexed="81"/>
            <rFont val="Tahoma"/>
            <family val="2"/>
          </rPr>
          <t xml:space="preserve">
Forage Crop build-up rate</t>
        </r>
      </text>
    </comment>
    <comment ref="AN38" authorId="0" shapeId="0" xr:uid="{00000000-0006-0000-0100-00005B000000}">
      <text>
        <r>
          <rPr>
            <b/>
            <sz val="9"/>
            <color indexed="81"/>
            <rFont val="Tahoma"/>
            <family val="2"/>
          </rPr>
          <t>Bailey, Patrick:</t>
        </r>
        <r>
          <rPr>
            <sz val="9"/>
            <color indexed="81"/>
            <rFont val="Tahoma"/>
            <family val="2"/>
          </rPr>
          <t xml:space="preserve">
Forage Crop Mainteance &amp; Drawdown Rate (same rate for both)</t>
        </r>
      </text>
    </comment>
    <comment ref="AO38" authorId="0" shapeId="0" xr:uid="{00000000-0006-0000-0100-00005C000000}">
      <text>
        <r>
          <rPr>
            <b/>
            <sz val="9"/>
            <color indexed="81"/>
            <rFont val="Tahoma"/>
            <family val="2"/>
          </rPr>
          <t>Bailey, Patrick:</t>
        </r>
        <r>
          <rPr>
            <sz val="9"/>
            <color indexed="81"/>
            <rFont val="Tahoma"/>
            <family val="2"/>
          </rPr>
          <t xml:space="preserve">
Forage Crop Mainteance &amp; Drawdown Rate (same rate for both)</t>
        </r>
      </text>
    </comment>
    <comment ref="AT38" authorId="0" shapeId="0" xr:uid="{00000000-0006-0000-0100-00005D000000}">
      <text>
        <r>
          <rPr>
            <b/>
            <sz val="9"/>
            <color indexed="81"/>
            <rFont val="Tahoma"/>
            <family val="2"/>
          </rPr>
          <t>Bailey, Patrick:</t>
        </r>
        <r>
          <rPr>
            <sz val="9"/>
            <color indexed="81"/>
            <rFont val="Tahoma"/>
            <family val="2"/>
          </rPr>
          <t xml:space="preserve">
Forage Crop build-up rate</t>
        </r>
      </text>
    </comment>
    <comment ref="BB38" authorId="0" shapeId="0" xr:uid="{00000000-0006-0000-0100-00005E000000}">
      <text>
        <r>
          <rPr>
            <b/>
            <sz val="9"/>
            <color indexed="81"/>
            <rFont val="Tahoma"/>
            <family val="2"/>
          </rPr>
          <t>Bailey, Patrick:</t>
        </r>
        <r>
          <rPr>
            <sz val="9"/>
            <color indexed="81"/>
            <rFont val="Tahoma"/>
            <family val="2"/>
          </rPr>
          <t xml:space="preserve">
Forage Crop Mainteance &amp; Drawdown Rate (same rate for both)</t>
        </r>
      </text>
    </comment>
    <comment ref="BC38" authorId="0" shapeId="0" xr:uid="{00000000-0006-0000-0100-00005F000000}">
      <text>
        <r>
          <rPr>
            <b/>
            <sz val="9"/>
            <color indexed="81"/>
            <rFont val="Tahoma"/>
            <family val="2"/>
          </rPr>
          <t>Bailey, Patrick:</t>
        </r>
        <r>
          <rPr>
            <sz val="9"/>
            <color indexed="81"/>
            <rFont val="Tahoma"/>
            <family val="2"/>
          </rPr>
          <t xml:space="preserve">
Forage Crop Mainteance &amp; Drawdown Rate (same rate for both)</t>
        </r>
      </text>
    </comment>
    <comment ref="BH38" authorId="0" shapeId="0" xr:uid="{00000000-0006-0000-0100-000060000000}">
      <text>
        <r>
          <rPr>
            <b/>
            <sz val="9"/>
            <color indexed="81"/>
            <rFont val="Tahoma"/>
            <family val="2"/>
          </rPr>
          <t>Bailey, Patrick:</t>
        </r>
        <r>
          <rPr>
            <sz val="9"/>
            <color indexed="81"/>
            <rFont val="Tahoma"/>
            <family val="2"/>
          </rPr>
          <t xml:space="preserve">
Forage Crop build-up rate</t>
        </r>
      </text>
    </comment>
    <comment ref="BP38" authorId="0" shapeId="0" xr:uid="{00000000-0006-0000-0100-000061000000}">
      <text>
        <r>
          <rPr>
            <b/>
            <sz val="9"/>
            <color indexed="81"/>
            <rFont val="Tahoma"/>
            <family val="2"/>
          </rPr>
          <t>Bailey, Patrick:</t>
        </r>
        <r>
          <rPr>
            <sz val="9"/>
            <color indexed="81"/>
            <rFont val="Tahoma"/>
            <family val="2"/>
          </rPr>
          <t xml:space="preserve">
Forage Crop Mainteance &amp; Drawdown Rate (same rate for both)</t>
        </r>
      </text>
    </comment>
    <comment ref="BQ38" authorId="0" shapeId="0" xr:uid="{00000000-0006-0000-0100-000062000000}">
      <text>
        <r>
          <rPr>
            <b/>
            <sz val="9"/>
            <color indexed="81"/>
            <rFont val="Tahoma"/>
            <family val="2"/>
          </rPr>
          <t>Bailey, Patrick:</t>
        </r>
        <r>
          <rPr>
            <sz val="9"/>
            <color indexed="81"/>
            <rFont val="Tahoma"/>
            <family val="2"/>
          </rPr>
          <t xml:space="preserve">
Forage Crop Mainteance &amp; Drawdown Rate (same rate for both)</t>
        </r>
      </text>
    </comment>
    <comment ref="BV38" authorId="0" shapeId="0" xr:uid="{00000000-0006-0000-0100-000063000000}">
      <text>
        <r>
          <rPr>
            <b/>
            <sz val="9"/>
            <color indexed="81"/>
            <rFont val="Tahoma"/>
            <family val="2"/>
          </rPr>
          <t>Bailey, Patrick:</t>
        </r>
        <r>
          <rPr>
            <sz val="9"/>
            <color indexed="81"/>
            <rFont val="Tahoma"/>
            <family val="2"/>
          </rPr>
          <t xml:space="preserve">
Forage Crop build-up rate</t>
        </r>
      </text>
    </comment>
    <comment ref="CD38" authorId="0" shapeId="0" xr:uid="{00000000-0006-0000-0100-000064000000}">
      <text>
        <r>
          <rPr>
            <b/>
            <sz val="9"/>
            <color indexed="81"/>
            <rFont val="Tahoma"/>
            <family val="2"/>
          </rPr>
          <t>Bailey, Patrick:</t>
        </r>
        <r>
          <rPr>
            <sz val="9"/>
            <color indexed="81"/>
            <rFont val="Tahoma"/>
            <family val="2"/>
          </rPr>
          <t xml:space="preserve">
Forage Crop Mainteance &amp; Drawdown Rate (same rate for both)</t>
        </r>
      </text>
    </comment>
    <comment ref="CE38" authorId="0" shapeId="0" xr:uid="{00000000-0006-0000-0100-000065000000}">
      <text>
        <r>
          <rPr>
            <b/>
            <sz val="9"/>
            <color indexed="81"/>
            <rFont val="Tahoma"/>
            <family val="2"/>
          </rPr>
          <t>Bailey, Patrick:</t>
        </r>
        <r>
          <rPr>
            <sz val="9"/>
            <color indexed="81"/>
            <rFont val="Tahoma"/>
            <family val="2"/>
          </rPr>
          <t xml:space="preserve">
Forage Crop Mainteance &amp; Drawdown Rate (same rate for both)</t>
        </r>
      </text>
    </comment>
    <comment ref="R39" authorId="0" shapeId="0" xr:uid="{00000000-0006-0000-0100-000066000000}">
      <text>
        <r>
          <rPr>
            <b/>
            <sz val="9"/>
            <color indexed="81"/>
            <rFont val="Tahoma"/>
            <family val="2"/>
          </rPr>
          <t>Bailey, Patrick:</t>
        </r>
        <r>
          <rPr>
            <sz val="9"/>
            <color indexed="81"/>
            <rFont val="Tahoma"/>
            <family val="2"/>
          </rPr>
          <t xml:space="preserve">
Forage Crop build-up rate</t>
        </r>
      </text>
    </comment>
    <comment ref="Z39" authorId="0" shapeId="0" xr:uid="{00000000-0006-0000-0100-000067000000}">
      <text>
        <r>
          <rPr>
            <b/>
            <sz val="9"/>
            <color indexed="81"/>
            <rFont val="Tahoma"/>
            <family val="2"/>
          </rPr>
          <t>Bailey, Patrick:</t>
        </r>
        <r>
          <rPr>
            <sz val="9"/>
            <color indexed="81"/>
            <rFont val="Tahoma"/>
            <family val="2"/>
          </rPr>
          <t xml:space="preserve">
Forage Crop Mainteance &amp; Drawdown Rate (same rate for both)</t>
        </r>
      </text>
    </comment>
    <comment ref="AA39" authorId="0" shapeId="0" xr:uid="{00000000-0006-0000-0100-000068000000}">
      <text>
        <r>
          <rPr>
            <b/>
            <sz val="9"/>
            <color indexed="81"/>
            <rFont val="Tahoma"/>
            <family val="2"/>
          </rPr>
          <t>Bailey, Patrick:</t>
        </r>
        <r>
          <rPr>
            <sz val="9"/>
            <color indexed="81"/>
            <rFont val="Tahoma"/>
            <family val="2"/>
          </rPr>
          <t xml:space="preserve">
Forage Crop Mainteance &amp; Drawdown Rate (same rate for both)</t>
        </r>
      </text>
    </comment>
    <comment ref="AF39" authorId="0" shapeId="0" xr:uid="{00000000-0006-0000-0100-000069000000}">
      <text>
        <r>
          <rPr>
            <b/>
            <sz val="9"/>
            <color indexed="81"/>
            <rFont val="Tahoma"/>
            <family val="2"/>
          </rPr>
          <t>Bailey, Patrick:</t>
        </r>
        <r>
          <rPr>
            <sz val="9"/>
            <color indexed="81"/>
            <rFont val="Tahoma"/>
            <family val="2"/>
          </rPr>
          <t xml:space="preserve">
Forage Crop build-up rate</t>
        </r>
      </text>
    </comment>
    <comment ref="AN39" authorId="0" shapeId="0" xr:uid="{00000000-0006-0000-0100-00006A000000}">
      <text>
        <r>
          <rPr>
            <b/>
            <sz val="9"/>
            <color indexed="81"/>
            <rFont val="Tahoma"/>
            <family val="2"/>
          </rPr>
          <t>Bailey, Patrick:</t>
        </r>
        <r>
          <rPr>
            <sz val="9"/>
            <color indexed="81"/>
            <rFont val="Tahoma"/>
            <family val="2"/>
          </rPr>
          <t xml:space="preserve">
Forage Crop Mainteance &amp; Drawdown Rate (same rate for both)</t>
        </r>
      </text>
    </comment>
    <comment ref="AO39" authorId="0" shapeId="0" xr:uid="{00000000-0006-0000-0100-00006B000000}">
      <text>
        <r>
          <rPr>
            <b/>
            <sz val="9"/>
            <color indexed="81"/>
            <rFont val="Tahoma"/>
            <family val="2"/>
          </rPr>
          <t>Bailey, Patrick:</t>
        </r>
        <r>
          <rPr>
            <sz val="9"/>
            <color indexed="81"/>
            <rFont val="Tahoma"/>
            <family val="2"/>
          </rPr>
          <t xml:space="preserve">
Forage Crop Mainteance &amp; Drawdown Rate (same rate for both)</t>
        </r>
      </text>
    </comment>
    <comment ref="AT39" authorId="0" shapeId="0" xr:uid="{00000000-0006-0000-0100-00006C000000}">
      <text>
        <r>
          <rPr>
            <b/>
            <sz val="9"/>
            <color indexed="81"/>
            <rFont val="Tahoma"/>
            <family val="2"/>
          </rPr>
          <t>Bailey, Patrick:</t>
        </r>
        <r>
          <rPr>
            <sz val="9"/>
            <color indexed="81"/>
            <rFont val="Tahoma"/>
            <family val="2"/>
          </rPr>
          <t xml:space="preserve">
Forage Crop build-up rate</t>
        </r>
      </text>
    </comment>
    <comment ref="BB39" authorId="0" shapeId="0" xr:uid="{00000000-0006-0000-0100-00006D000000}">
      <text>
        <r>
          <rPr>
            <b/>
            <sz val="9"/>
            <color indexed="81"/>
            <rFont val="Tahoma"/>
            <family val="2"/>
          </rPr>
          <t>Bailey, Patrick:</t>
        </r>
        <r>
          <rPr>
            <sz val="9"/>
            <color indexed="81"/>
            <rFont val="Tahoma"/>
            <family val="2"/>
          </rPr>
          <t xml:space="preserve">
Forage Crop Mainteance &amp; Drawdown Rate (same rate for both)</t>
        </r>
      </text>
    </comment>
    <comment ref="BC39" authorId="0" shapeId="0" xr:uid="{00000000-0006-0000-0100-00006E000000}">
      <text>
        <r>
          <rPr>
            <b/>
            <sz val="9"/>
            <color indexed="81"/>
            <rFont val="Tahoma"/>
            <family val="2"/>
          </rPr>
          <t>Bailey, Patrick:</t>
        </r>
        <r>
          <rPr>
            <sz val="9"/>
            <color indexed="81"/>
            <rFont val="Tahoma"/>
            <family val="2"/>
          </rPr>
          <t xml:space="preserve">
Forage Crop Mainteance &amp; Drawdown Rate (same rate for both)</t>
        </r>
      </text>
    </comment>
    <comment ref="BH39" authorId="0" shapeId="0" xr:uid="{00000000-0006-0000-0100-00006F000000}">
      <text>
        <r>
          <rPr>
            <b/>
            <sz val="9"/>
            <color indexed="81"/>
            <rFont val="Tahoma"/>
            <family val="2"/>
          </rPr>
          <t>Bailey, Patrick:</t>
        </r>
        <r>
          <rPr>
            <sz val="9"/>
            <color indexed="81"/>
            <rFont val="Tahoma"/>
            <family val="2"/>
          </rPr>
          <t xml:space="preserve">
Forage Crop build-up rate</t>
        </r>
      </text>
    </comment>
    <comment ref="BP39" authorId="0" shapeId="0" xr:uid="{00000000-0006-0000-0100-000070000000}">
      <text>
        <r>
          <rPr>
            <b/>
            <sz val="9"/>
            <color indexed="81"/>
            <rFont val="Tahoma"/>
            <family val="2"/>
          </rPr>
          <t>Bailey, Patrick:</t>
        </r>
        <r>
          <rPr>
            <sz val="9"/>
            <color indexed="81"/>
            <rFont val="Tahoma"/>
            <family val="2"/>
          </rPr>
          <t xml:space="preserve">
Forage Crop Mainteance &amp; Drawdown Rate (same rate for both)</t>
        </r>
      </text>
    </comment>
    <comment ref="BQ39" authorId="0" shapeId="0" xr:uid="{00000000-0006-0000-0100-000071000000}">
      <text>
        <r>
          <rPr>
            <b/>
            <sz val="9"/>
            <color indexed="81"/>
            <rFont val="Tahoma"/>
            <family val="2"/>
          </rPr>
          <t>Bailey, Patrick:</t>
        </r>
        <r>
          <rPr>
            <sz val="9"/>
            <color indexed="81"/>
            <rFont val="Tahoma"/>
            <family val="2"/>
          </rPr>
          <t xml:space="preserve">
Forage Crop Mainteance &amp; Drawdown Rate (same rate for both)</t>
        </r>
      </text>
    </comment>
    <comment ref="BV39" authorId="0" shapeId="0" xr:uid="{00000000-0006-0000-0100-000072000000}">
      <text>
        <r>
          <rPr>
            <b/>
            <sz val="9"/>
            <color indexed="81"/>
            <rFont val="Tahoma"/>
            <family val="2"/>
          </rPr>
          <t>Bailey, Patrick:</t>
        </r>
        <r>
          <rPr>
            <sz val="9"/>
            <color indexed="81"/>
            <rFont val="Tahoma"/>
            <family val="2"/>
          </rPr>
          <t xml:space="preserve">
Forage Crop build-up rate</t>
        </r>
      </text>
    </comment>
    <comment ref="CD39" authorId="0" shapeId="0" xr:uid="{00000000-0006-0000-0100-000073000000}">
      <text>
        <r>
          <rPr>
            <b/>
            <sz val="9"/>
            <color indexed="81"/>
            <rFont val="Tahoma"/>
            <family val="2"/>
          </rPr>
          <t>Bailey, Patrick:</t>
        </r>
        <r>
          <rPr>
            <sz val="9"/>
            <color indexed="81"/>
            <rFont val="Tahoma"/>
            <family val="2"/>
          </rPr>
          <t xml:space="preserve">
Forage Crop Mainteance &amp; Drawdown Rate (same rate for both)</t>
        </r>
      </text>
    </comment>
    <comment ref="CE39" authorId="0" shapeId="0" xr:uid="{00000000-0006-0000-0100-000074000000}">
      <text>
        <r>
          <rPr>
            <b/>
            <sz val="9"/>
            <color indexed="81"/>
            <rFont val="Tahoma"/>
            <family val="2"/>
          </rPr>
          <t>Bailey, Patrick:</t>
        </r>
        <r>
          <rPr>
            <sz val="9"/>
            <color indexed="81"/>
            <rFont val="Tahoma"/>
            <family val="2"/>
          </rPr>
          <t xml:space="preserve">
Forage Crop Mainteance &amp; Drawdown Rate (same rate for both)</t>
        </r>
      </text>
    </comment>
    <comment ref="CP40" authorId="0" shapeId="0" xr:uid="{00000000-0006-0000-0100-000075000000}">
      <text>
        <r>
          <rPr>
            <sz val="9"/>
            <color indexed="81"/>
            <rFont val="Tahoma"/>
            <family val="2"/>
          </rPr>
          <t>A note pops up in this cell if additional K2O will be needed in later years of the planning period in order to satsify the fertilizer recommendations for the proposed crop rotation.</t>
        </r>
      </text>
    </comment>
    <comment ref="C58" authorId="0" shapeId="0" xr:uid="{00000000-0006-0000-0100-000076000000}">
      <text>
        <r>
          <rPr>
            <sz val="9"/>
            <color indexed="81"/>
            <rFont val="Tahoma"/>
            <family val="2"/>
          </rPr>
          <t>A note pops up in this cell if liquid manure application needs to be split so that each is less than 13,560 gal/ac.</t>
        </r>
      </text>
    </comment>
    <comment ref="C59" authorId="0" shapeId="0" xr:uid="{00000000-0006-0000-0100-000077000000}">
      <text>
        <r>
          <rPr>
            <sz val="9"/>
            <color indexed="81"/>
            <rFont val="Tahoma"/>
            <family val="2"/>
          </rPr>
          <t>A note pops up in this cell if the available N application rate exceeds the next crop's N recommendation or 150 lbs/ac for legumes.</t>
        </r>
      </text>
    </comment>
    <comment ref="C60" authorId="0" shapeId="0" xr:uid="{00000000-0006-0000-0100-000078000000}">
      <text>
        <r>
          <rPr>
            <sz val="9"/>
            <color indexed="81"/>
            <rFont val="Tahoma"/>
            <family val="2"/>
          </rPr>
          <t>A note pops up in this cell if the P2O5 app rate exceeds one of the following: 250 lbs total for "low" risk fields;  the mutli-year crop P removal rate for "medium" risk fields; or the single year P removal rate for "high" risk fields -- depending on the soil test P value entered above.</t>
        </r>
      </text>
    </comment>
    <comment ref="C61" authorId="0" shapeId="0" xr:uid="{00000000-0006-0000-0100-000079000000}">
      <text>
        <r>
          <rPr>
            <sz val="9"/>
            <color indexed="81"/>
            <rFont val="Tahoma"/>
            <family val="2"/>
          </rPr>
          <t>A note pops up in this cell if the user enters a manure application date between June 1st and Oct 1st.  It reminds the user to use the N Leaching Assessment Procedure.</t>
        </r>
      </text>
    </comment>
    <comment ref="C62" authorId="0" shapeId="0" xr:uid="{00000000-0006-0000-0100-00007A000000}">
      <text>
        <r>
          <rPr>
            <sz val="9"/>
            <color indexed="81"/>
            <rFont val="Tahoma"/>
            <family val="2"/>
          </rPr>
          <t>A note pops up in this cell if the K2O application rate exceeds 500 lbs/ac.</t>
        </r>
      </text>
    </comment>
    <comment ref="C63" authorId="0" shapeId="0" xr:uid="{00000000-0006-0000-0100-00007B000000}">
      <text>
        <r>
          <rPr>
            <sz val="9"/>
            <color indexed="81"/>
            <rFont val="Tahoma"/>
            <family val="2"/>
          </rPr>
          <t>A note pops up in this cell if the P application rate exceeds the fertility recommendation for the planning period.</t>
        </r>
      </text>
    </comment>
    <comment ref="C64" authorId="0" shapeId="0" xr:uid="{00000000-0006-0000-0100-00007C000000}">
      <text>
        <r>
          <rPr>
            <sz val="9"/>
            <color indexed="81"/>
            <rFont val="Tahoma"/>
            <family val="2"/>
          </rPr>
          <t>A note pops up in this cell if the K2O application rate exceeds the fertility recommendation for the planning period.</t>
        </r>
      </text>
    </comment>
  </commentList>
</comments>
</file>

<file path=xl/sharedStrings.xml><?xml version="1.0" encoding="utf-8"?>
<sst xmlns="http://schemas.openxmlformats.org/spreadsheetml/2006/main" count="408" uniqueCount="266">
  <si>
    <t>Ammonia N</t>
  </si>
  <si>
    <t>Organic N</t>
  </si>
  <si>
    <r>
      <t>P</t>
    </r>
    <r>
      <rPr>
        <vertAlign val="subscript"/>
        <sz val="10"/>
        <rFont val="Arial"/>
        <family val="2"/>
      </rPr>
      <t>2</t>
    </r>
    <r>
      <rPr>
        <sz val="10"/>
        <rFont val="Arial"/>
        <family val="2"/>
      </rPr>
      <t>O</t>
    </r>
    <r>
      <rPr>
        <vertAlign val="subscript"/>
        <sz val="10"/>
        <rFont val="Arial"/>
        <family val="2"/>
      </rPr>
      <t>5</t>
    </r>
  </si>
  <si>
    <r>
      <t>K</t>
    </r>
    <r>
      <rPr>
        <vertAlign val="subscript"/>
        <sz val="10"/>
        <rFont val="Arial"/>
        <family val="2"/>
      </rPr>
      <t>2</t>
    </r>
    <r>
      <rPr>
        <sz val="10"/>
        <rFont val="Arial"/>
        <family val="2"/>
      </rPr>
      <t>O</t>
    </r>
  </si>
  <si>
    <t>Application Timing and Incorporation</t>
  </si>
  <si>
    <t>Dates of Application</t>
  </si>
  <si>
    <t># of Days until incorporated</t>
  </si>
  <si>
    <t>Nov-Feb</t>
  </si>
  <si>
    <r>
      <t>&lt;</t>
    </r>
    <r>
      <rPr>
        <sz val="10"/>
        <rFont val="Arial"/>
        <family val="2"/>
      </rPr>
      <t xml:space="preserve"> 5</t>
    </r>
  </si>
  <si>
    <t>Choose the Available N</t>
  </si>
  <si>
    <t>&gt; 5</t>
  </si>
  <si>
    <t>Mar-Apr</t>
  </si>
  <si>
    <r>
      <t>&lt;</t>
    </r>
    <r>
      <rPr>
        <sz val="10"/>
        <rFont val="Arial"/>
        <family val="2"/>
      </rPr>
      <t xml:space="preserve"> 3</t>
    </r>
  </si>
  <si>
    <t>&gt; 3</t>
  </si>
  <si>
    <t>Apr-Jun</t>
  </si>
  <si>
    <r>
      <t>&lt;</t>
    </r>
    <r>
      <rPr>
        <sz val="10"/>
        <rFont val="Arial"/>
        <family val="2"/>
      </rPr>
      <t xml:space="preserve"> 1</t>
    </r>
  </si>
  <si>
    <t>&gt; 1</t>
  </si>
  <si>
    <t>Jul-Aug</t>
  </si>
  <si>
    <t>Sep-Oct</t>
  </si>
  <si>
    <t>% of N Available</t>
  </si>
  <si>
    <t>Crop</t>
  </si>
  <si>
    <t>Step 1</t>
  </si>
  <si>
    <t>Step 2</t>
  </si>
  <si>
    <t>Step 3</t>
  </si>
  <si>
    <t>Max N</t>
  </si>
  <si>
    <t>Nitrogen Calculation</t>
  </si>
  <si>
    <t>Year No. 2</t>
  </si>
  <si>
    <t>Year No. 3</t>
  </si>
  <si>
    <t>Year No. 4</t>
  </si>
  <si>
    <t>Year No. 5</t>
  </si>
  <si>
    <t>Available N (lbs/1,000 gal)</t>
  </si>
  <si>
    <t>acres ("spreadable" area)</t>
  </si>
  <si>
    <t xml:space="preserve">Soil Test Information </t>
  </si>
  <si>
    <t>K</t>
  </si>
  <si>
    <t>CEC (meq/100g)</t>
  </si>
  <si>
    <t>CL-STL</t>
  </si>
  <si>
    <t>CL</t>
  </si>
  <si>
    <t>P205 buildup rate</t>
  </si>
  <si>
    <t>P2O5 Maint. Rate</t>
  </si>
  <si>
    <t>P205 Draw down rate</t>
  </si>
  <si>
    <t>K2O Build up Rate</t>
  </si>
  <si>
    <t>P2O5 Fert. Rec.</t>
  </si>
  <si>
    <t>Calc. P2O5 Fert. Rec.</t>
  </si>
  <si>
    <t>K2O Maint. Rate</t>
  </si>
  <si>
    <t>K20 Draw down rate</t>
  </si>
  <si>
    <t>Calc. K2O Fert. Rec.</t>
  </si>
  <si>
    <t>K2O Fert. Rec.</t>
  </si>
  <si>
    <t>P</t>
  </si>
  <si>
    <r>
      <t>K</t>
    </r>
    <r>
      <rPr>
        <vertAlign val="subscript"/>
        <sz val="10"/>
        <rFont val="Arial"/>
        <family val="2"/>
      </rPr>
      <t>2</t>
    </r>
    <r>
      <rPr>
        <sz val="10"/>
        <rFont val="Arial"/>
        <family val="2"/>
      </rPr>
      <t>0 Crop Removal Rate</t>
    </r>
  </si>
  <si>
    <r>
      <t>P</t>
    </r>
    <r>
      <rPr>
        <vertAlign val="subscript"/>
        <sz val="10"/>
        <rFont val="Arial"/>
        <family val="2"/>
      </rPr>
      <t>2</t>
    </r>
    <r>
      <rPr>
        <sz val="10"/>
        <rFont val="Arial"/>
        <family val="2"/>
      </rPr>
      <t>O</t>
    </r>
    <r>
      <rPr>
        <vertAlign val="subscript"/>
        <sz val="10"/>
        <rFont val="Arial"/>
        <family val="2"/>
      </rPr>
      <t xml:space="preserve">5 </t>
    </r>
    <r>
      <rPr>
        <sz val="10"/>
        <rFont val="Arial"/>
        <family val="2"/>
      </rPr>
      <t>Crop</t>
    </r>
    <r>
      <rPr>
        <vertAlign val="subscript"/>
        <sz val="10"/>
        <rFont val="Arial"/>
        <family val="2"/>
      </rPr>
      <t xml:space="preserve"> </t>
    </r>
    <r>
      <rPr>
        <sz val="10"/>
        <rFont val="Arial"/>
        <family val="2"/>
      </rPr>
      <t>Removal Rate</t>
    </r>
  </si>
  <si>
    <r>
      <t>P</t>
    </r>
    <r>
      <rPr>
        <vertAlign val="subscript"/>
        <sz val="10"/>
        <rFont val="Arial"/>
        <family val="2"/>
      </rPr>
      <t>2</t>
    </r>
    <r>
      <rPr>
        <sz val="10"/>
        <rFont val="Arial"/>
        <family val="2"/>
      </rPr>
      <t>O</t>
    </r>
    <r>
      <rPr>
        <vertAlign val="subscript"/>
        <sz val="10"/>
        <rFont val="Arial"/>
        <family val="2"/>
      </rPr>
      <t xml:space="preserve">5 </t>
    </r>
  </si>
  <si>
    <r>
      <t>K</t>
    </r>
    <r>
      <rPr>
        <vertAlign val="subscript"/>
        <sz val="10"/>
        <rFont val="Arial"/>
        <family val="2"/>
      </rPr>
      <t>2</t>
    </r>
    <r>
      <rPr>
        <sz val="10"/>
        <rFont val="Arial"/>
        <family val="2"/>
      </rPr>
      <t>0</t>
    </r>
  </si>
  <si>
    <t>N</t>
  </si>
  <si>
    <t>P (Bray-Kurtz P1) (ppm)</t>
  </si>
  <si>
    <t>Critical Level (ppm)</t>
  </si>
  <si>
    <t>Mainteance Limit (ppm)</t>
  </si>
  <si>
    <t>Field Unit ID -</t>
  </si>
  <si>
    <t>Notes -</t>
  </si>
  <si>
    <t>lbs/ac</t>
  </si>
  <si>
    <t>Corn Grain (bu/ac)</t>
  </si>
  <si>
    <t>Corn Grain (after legumes) (bu/ac)</t>
  </si>
  <si>
    <t>Soybeans (bu/ac)</t>
  </si>
  <si>
    <t>Wheat (grain only) (bu/ac)</t>
  </si>
  <si>
    <t>Wheat (grain and straw) (bu/ac)</t>
  </si>
  <si>
    <t>Notes:</t>
  </si>
  <si>
    <t>or</t>
  </si>
  <si>
    <t>K    (ppm)</t>
  </si>
  <si>
    <t>Maintenance Limit</t>
  </si>
  <si>
    <t>Maintenance Limit - STL</t>
  </si>
  <si>
    <t>For Corn, beans, wheat</t>
  </si>
  <si>
    <t>Soybeans w/ stover removal (bu/ac)</t>
  </si>
  <si>
    <t>cut-off limit</t>
  </si>
  <si>
    <t>For Corn silage, alfalfa, and forage grasses</t>
  </si>
  <si>
    <t>Cut-off limit - STL</t>
  </si>
  <si>
    <t>Corn Grain w/ stover removal (bu/ac)</t>
  </si>
  <si>
    <t>Corn Grain w/ stover removal (after legumes) (bu/ac)</t>
  </si>
  <si>
    <r>
      <rPr>
        <vertAlign val="superscript"/>
        <sz val="10"/>
        <rFont val="Arial"/>
        <family val="2"/>
      </rPr>
      <t>1</t>
    </r>
    <r>
      <rPr>
        <sz val="10"/>
        <rFont val="Arial"/>
        <family val="2"/>
      </rPr>
      <t>In a multi-crop rotation, the higher Soil Test Range is shown</t>
    </r>
  </si>
  <si>
    <r>
      <t>Soil Test P Range</t>
    </r>
    <r>
      <rPr>
        <vertAlign val="superscript"/>
        <sz val="12"/>
        <rFont val="Arial"/>
        <family val="2"/>
      </rPr>
      <t>1</t>
    </r>
    <r>
      <rPr>
        <sz val="12"/>
        <rFont val="Arial"/>
        <family val="2"/>
      </rPr>
      <t xml:space="preserve"> =</t>
    </r>
  </si>
  <si>
    <r>
      <t>Soil Test K Range</t>
    </r>
    <r>
      <rPr>
        <vertAlign val="superscript"/>
        <sz val="12"/>
        <rFont val="Arial"/>
        <family val="2"/>
      </rPr>
      <t>1</t>
    </r>
    <r>
      <rPr>
        <sz val="12"/>
        <rFont val="Arial"/>
        <family val="2"/>
      </rPr>
      <t xml:space="preserve"> =</t>
    </r>
  </si>
  <si>
    <t>Value</t>
  </si>
  <si>
    <t>Units</t>
  </si>
  <si>
    <t>Cation Exchange Capacity (CEC)</t>
  </si>
  <si>
    <t>meq/100g</t>
  </si>
  <si>
    <t>Bray-Kurtz P1</t>
  </si>
  <si>
    <t>Mehlich-3 ICP</t>
  </si>
  <si>
    <t>ppm</t>
  </si>
  <si>
    <t>Lbs/ac</t>
  </si>
  <si>
    <r>
      <rPr>
        <sz val="14"/>
        <rFont val="Arial"/>
        <family val="2"/>
      </rPr>
      <t>P</t>
    </r>
    <r>
      <rPr>
        <sz val="10"/>
        <rFont val="Arial"/>
        <family val="2"/>
      </rPr>
      <t xml:space="preserve"> Soil Test Unit Conversion Equivalency</t>
    </r>
  </si>
  <si>
    <r>
      <rPr>
        <sz val="14"/>
        <rFont val="Arial"/>
        <family val="2"/>
      </rPr>
      <t>K</t>
    </r>
    <r>
      <rPr>
        <sz val="10"/>
        <rFont val="Arial"/>
        <family val="2"/>
      </rPr>
      <t xml:space="preserve"> Soil Test Unit Conversion Equivalency</t>
    </r>
  </si>
  <si>
    <r>
      <rPr>
        <sz val="14"/>
        <rFont val="Arial"/>
        <family val="2"/>
      </rPr>
      <t>P</t>
    </r>
    <r>
      <rPr>
        <sz val="10"/>
        <rFont val="Arial"/>
        <family val="2"/>
      </rPr>
      <t xml:space="preserve"> Soil Test Type Conversion Equivalency</t>
    </r>
  </si>
  <si>
    <t>Bray P1 (ppm) (converted from Mehlich 3)</t>
  </si>
  <si>
    <t>Mehlich 3 ICP</t>
  </si>
  <si>
    <t>Bray P1</t>
  </si>
  <si>
    <r>
      <t>P</t>
    </r>
    <r>
      <rPr>
        <vertAlign val="subscript"/>
        <sz val="12"/>
        <rFont val="Arial"/>
        <family val="2"/>
      </rPr>
      <t>2</t>
    </r>
    <r>
      <rPr>
        <sz val="12"/>
        <rFont val="Arial"/>
        <family val="2"/>
      </rPr>
      <t>O</t>
    </r>
    <r>
      <rPr>
        <vertAlign val="subscript"/>
        <sz val="12"/>
        <rFont val="Arial"/>
        <family val="2"/>
      </rPr>
      <t>5</t>
    </r>
  </si>
  <si>
    <r>
      <t>K</t>
    </r>
    <r>
      <rPr>
        <vertAlign val="subscript"/>
        <sz val="12"/>
        <rFont val="Arial"/>
        <family val="2"/>
      </rPr>
      <t>2</t>
    </r>
    <r>
      <rPr>
        <sz val="12"/>
        <rFont val="Arial"/>
        <family val="2"/>
      </rPr>
      <t>O</t>
    </r>
  </si>
  <si>
    <r>
      <t>K</t>
    </r>
    <r>
      <rPr>
        <vertAlign val="subscript"/>
        <sz val="12"/>
        <rFont val="Arial"/>
        <family val="2"/>
      </rPr>
      <t>2</t>
    </r>
    <r>
      <rPr>
        <sz val="12"/>
        <rFont val="Arial"/>
        <family val="2"/>
      </rPr>
      <t xml:space="preserve">0 </t>
    </r>
  </si>
  <si>
    <t>Bray P1 in ppm?</t>
  </si>
  <si>
    <t>Bray P1 in lbs/ac?</t>
  </si>
  <si>
    <t>Mehlich 3 ppm?</t>
  </si>
  <si>
    <t>Mehlich 3 lbs/ac?</t>
  </si>
  <si>
    <t>For Corn, beans, and corn silage</t>
  </si>
  <si>
    <t>For wheat, alfalfa, and forage grasses</t>
  </si>
  <si>
    <t>First Year Crop Fertility Recommendationsl* (lbs/ac)</t>
  </si>
  <si>
    <t>Second Year Crop Fertility Recommendationsl* (lbs/ac)</t>
  </si>
  <si>
    <t>Third Year Crop Fertility Recommendationsl* (lbs/ac)</t>
  </si>
  <si>
    <t>Fourth Year Crop Fertility Recommendationsl* (lbs/ac)</t>
  </si>
  <si>
    <t>Fifth Year Crop Fertility Recommendationsl* (lbs/ac)</t>
  </si>
  <si>
    <t>Planning Period  Crop Fertility Recs* (lbs/ac)</t>
  </si>
  <si>
    <t>Col G is crop yield</t>
  </si>
  <si>
    <t>Col H is crop yield</t>
  </si>
  <si>
    <t>Col I is crop yield</t>
  </si>
  <si>
    <t>Col J is crop yield</t>
  </si>
  <si>
    <t xml:space="preserve">Date - </t>
  </si>
  <si>
    <t>Soil Test Date</t>
  </si>
  <si>
    <t>How current is soil test?</t>
  </si>
  <si>
    <t>years</t>
  </si>
  <si>
    <r>
      <t>P</t>
    </r>
    <r>
      <rPr>
        <vertAlign val="subscript"/>
        <sz val="11"/>
        <rFont val="Arial"/>
        <family val="2"/>
      </rPr>
      <t>2</t>
    </r>
    <r>
      <rPr>
        <sz val="11"/>
        <rFont val="Arial"/>
        <family val="2"/>
      </rPr>
      <t>O</t>
    </r>
    <r>
      <rPr>
        <vertAlign val="subscript"/>
        <sz val="11"/>
        <rFont val="Arial"/>
        <family val="2"/>
      </rPr>
      <t>5</t>
    </r>
  </si>
  <si>
    <r>
      <t>K</t>
    </r>
    <r>
      <rPr>
        <vertAlign val="subscript"/>
        <sz val="11"/>
        <rFont val="Arial"/>
        <family val="2"/>
      </rPr>
      <t>2</t>
    </r>
    <r>
      <rPr>
        <sz val="11"/>
        <rFont val="Arial"/>
        <family val="2"/>
      </rPr>
      <t>O</t>
    </r>
  </si>
  <si>
    <t>Org. N</t>
  </si>
  <si>
    <t>Available N =</t>
  </si>
  <si>
    <t>Timing</t>
  </si>
  <si>
    <t>Incorporated within 24 hours</t>
  </si>
  <si>
    <t>Incorporation Method</t>
  </si>
  <si>
    <t>No incorporation or &gt; 5 days after application</t>
  </si>
  <si>
    <t>Manure Source-</t>
  </si>
  <si>
    <t>Incoporated 1 to 3 days after application</t>
  </si>
  <si>
    <t>Incorporated 3 to 5 days after application</t>
  </si>
  <si>
    <t>&lt;1</t>
  </si>
  <si>
    <t>1 to 3</t>
  </si>
  <si>
    <t>3to5</t>
  </si>
  <si>
    <t>Avail N</t>
  </si>
  <si>
    <t>Nutrient Content of Manure</t>
  </si>
  <si>
    <r>
      <t>lbs/ac P</t>
    </r>
    <r>
      <rPr>
        <b/>
        <vertAlign val="subscript"/>
        <sz val="10.5"/>
        <rFont val="Arial"/>
        <family val="2"/>
      </rPr>
      <t>2</t>
    </r>
    <r>
      <rPr>
        <b/>
        <sz val="10.5"/>
        <rFont val="Arial"/>
        <family val="2"/>
      </rPr>
      <t>O</t>
    </r>
    <r>
      <rPr>
        <b/>
        <vertAlign val="subscript"/>
        <sz val="10.5"/>
        <rFont val="Arial"/>
        <family val="2"/>
      </rPr>
      <t>5</t>
    </r>
  </si>
  <si>
    <r>
      <t>lbs/ac K</t>
    </r>
    <r>
      <rPr>
        <b/>
        <vertAlign val="subscript"/>
        <sz val="10.5"/>
        <rFont val="Arial"/>
        <family val="2"/>
      </rPr>
      <t>2</t>
    </r>
    <r>
      <rPr>
        <b/>
        <sz val="10.5"/>
        <rFont val="Arial"/>
        <family val="2"/>
      </rPr>
      <t xml:space="preserve">O </t>
    </r>
  </si>
  <si>
    <t>Manure Application Timing/Method</t>
  </si>
  <si>
    <t>Enter Manure Nutrient Content</t>
  </si>
  <si>
    <t>Planning Period Nutrient Removal (lbs/ac)</t>
  </si>
  <si>
    <t>Very High</t>
  </si>
  <si>
    <t>NRCS Soil Test Risk Assessment Procedure</t>
  </si>
  <si>
    <t>&lt; 40ppm</t>
  </si>
  <si>
    <t>40-100 ppm</t>
  </si>
  <si>
    <t>101-150 ppm</t>
  </si>
  <si>
    <t>&gt; 150 ppm</t>
  </si>
  <si>
    <t>Low</t>
  </si>
  <si>
    <t>Medium</t>
  </si>
  <si>
    <t>High</t>
  </si>
  <si>
    <t>Risk of Off-site nutrient transport =</t>
  </si>
  <si>
    <t>Description of Proposed Rotation</t>
  </si>
  <si>
    <t>max P205 app (lb/ac) =</t>
  </si>
  <si>
    <r>
      <t xml:space="preserve">Critical Level </t>
    </r>
    <r>
      <rPr>
        <vertAlign val="superscript"/>
        <sz val="11"/>
        <rFont val="Arial"/>
        <family val="2"/>
      </rPr>
      <t>2,3</t>
    </r>
  </si>
  <si>
    <r>
      <t xml:space="preserve">Maintenance Limit </t>
    </r>
    <r>
      <rPr>
        <vertAlign val="superscript"/>
        <sz val="11"/>
        <rFont val="Arial"/>
        <family val="2"/>
      </rPr>
      <t>2,3</t>
    </r>
  </si>
  <si>
    <t>Potential Risk for P movement from the field</t>
  </si>
  <si>
    <r>
      <t xml:space="preserve">Soil Test </t>
    </r>
    <r>
      <rPr>
        <vertAlign val="superscript"/>
        <sz val="11"/>
        <rFont val="Arial"/>
        <family val="2"/>
      </rPr>
      <t>2</t>
    </r>
  </si>
  <si>
    <r>
      <rPr>
        <vertAlign val="superscript"/>
        <sz val="11"/>
        <rFont val="Arial"/>
        <family val="2"/>
      </rPr>
      <t>3</t>
    </r>
    <r>
      <rPr>
        <sz val="11"/>
        <rFont val="Arial"/>
        <family val="2"/>
      </rPr>
      <t>In a multi-crop rotation, the higher Critical Level, Maintenance Limit, and Soil Test Range is shown.</t>
    </r>
  </si>
  <si>
    <r>
      <t>Avail N.</t>
    </r>
    <r>
      <rPr>
        <vertAlign val="superscript"/>
        <sz val="12"/>
        <rFont val="Arial"/>
        <family val="2"/>
      </rPr>
      <t>5</t>
    </r>
  </si>
  <si>
    <r>
      <rPr>
        <u/>
        <sz val="11"/>
        <rFont val="Arial"/>
        <family val="2"/>
      </rPr>
      <t xml:space="preserve">First Year </t>
    </r>
    <r>
      <rPr>
        <sz val="11"/>
        <rFont val="Arial"/>
        <family val="2"/>
      </rPr>
      <t xml:space="preserve">Nutrient Removal </t>
    </r>
    <r>
      <rPr>
        <vertAlign val="superscript"/>
        <sz val="11"/>
        <rFont val="Arial"/>
        <family val="2"/>
      </rPr>
      <t>6</t>
    </r>
    <r>
      <rPr>
        <sz val="11"/>
        <rFont val="Arial"/>
        <family val="2"/>
      </rPr>
      <t xml:space="preserve"> (lbs/ac)</t>
    </r>
  </si>
  <si>
    <r>
      <rPr>
        <u/>
        <sz val="11"/>
        <rFont val="Arial"/>
        <family val="2"/>
      </rPr>
      <t>Planning Period</t>
    </r>
    <r>
      <rPr>
        <sz val="11"/>
        <rFont val="Arial"/>
        <family val="2"/>
      </rPr>
      <t xml:space="preserve"> Crop Nutrient Removal </t>
    </r>
    <r>
      <rPr>
        <vertAlign val="superscript"/>
        <sz val="11"/>
        <rFont val="Arial"/>
        <family val="2"/>
      </rPr>
      <t>6</t>
    </r>
    <r>
      <rPr>
        <sz val="11"/>
        <rFont val="Arial"/>
        <family val="2"/>
      </rPr>
      <t xml:space="preserve">  (lbs/ac)</t>
    </r>
  </si>
  <si>
    <r>
      <t xml:space="preserve">Avail. N </t>
    </r>
    <r>
      <rPr>
        <vertAlign val="superscript"/>
        <sz val="12"/>
        <rFont val="Arial"/>
        <family val="2"/>
      </rPr>
      <t>5</t>
    </r>
  </si>
  <si>
    <r>
      <rPr>
        <vertAlign val="superscript"/>
        <sz val="12"/>
        <rFont val="Arial"/>
        <family val="2"/>
      </rPr>
      <t>6</t>
    </r>
    <r>
      <rPr>
        <sz val="12"/>
        <rFont val="Arial"/>
        <family val="2"/>
      </rPr>
      <t xml:space="preserve">Reference </t>
    </r>
    <r>
      <rPr>
        <i/>
        <sz val="12"/>
        <rFont val="Arial"/>
        <family val="2"/>
      </rPr>
      <t>Tri-State Fertilizer Recommendations</t>
    </r>
    <r>
      <rPr>
        <sz val="12"/>
        <rFont val="Arial"/>
        <family val="2"/>
      </rPr>
      <t xml:space="preserve"> and NRCS 590</t>
    </r>
  </si>
  <si>
    <r>
      <t>"Tri-State" Fertilizer Recommendation Scheme</t>
    </r>
    <r>
      <rPr>
        <vertAlign val="superscript"/>
        <sz val="12"/>
        <rFont val="Arial"/>
        <family val="2"/>
      </rPr>
      <t>1</t>
    </r>
  </si>
  <si>
    <t>Field Soil Test Information</t>
  </si>
  <si>
    <t># of days until incorporation</t>
  </si>
  <si>
    <t>N (1st Yr)</t>
  </si>
  <si>
    <t>Nitrogen Rec 1</t>
  </si>
  <si>
    <t>Nitrogen Rec 2</t>
  </si>
  <si>
    <r>
      <rPr>
        <u/>
        <sz val="11"/>
        <rFont val="Arial"/>
        <family val="2"/>
      </rPr>
      <t>Planning Period</t>
    </r>
    <r>
      <rPr>
        <u/>
        <vertAlign val="superscript"/>
        <sz val="11"/>
        <rFont val="Arial"/>
        <family val="2"/>
      </rPr>
      <t>7</t>
    </r>
    <r>
      <rPr>
        <sz val="11"/>
        <rFont val="Arial"/>
        <family val="2"/>
      </rPr>
      <t xml:space="preserve"> (lbs/ac)</t>
    </r>
  </si>
  <si>
    <r>
      <rPr>
        <vertAlign val="superscript"/>
        <sz val="12"/>
        <rFont val="Arial"/>
        <family val="2"/>
      </rPr>
      <t>5</t>
    </r>
    <r>
      <rPr>
        <sz val="12"/>
        <rFont val="Arial"/>
        <family val="2"/>
      </rPr>
      <t xml:space="preserve">For manure N availability, refer to OSU Extension Bulletin 604, </t>
    </r>
    <r>
      <rPr>
        <i/>
        <sz val="12"/>
        <rFont val="Arial"/>
        <family val="2"/>
      </rPr>
      <t>Ohio Livestock Manure Management Guide (2006)</t>
    </r>
    <r>
      <rPr>
        <sz val="12"/>
        <rFont val="Arial"/>
        <family val="2"/>
      </rPr>
      <t>.</t>
    </r>
  </si>
  <si>
    <r>
      <rPr>
        <vertAlign val="superscript"/>
        <sz val="11"/>
        <rFont val="Arial"/>
        <family val="2"/>
      </rPr>
      <t>1</t>
    </r>
    <r>
      <rPr>
        <sz val="11"/>
        <rFont val="Arial"/>
        <family val="2"/>
      </rPr>
      <t xml:space="preserve">Agronomic fertility sufficiency ranges based on </t>
    </r>
    <r>
      <rPr>
        <i/>
        <sz val="11"/>
        <rFont val="Arial"/>
        <family val="2"/>
      </rPr>
      <t>Extension Bulletin E-2567, Tri-State Fertilizer Recommendations For Corn, Soybeans, Wheat, and Alfalfa (2000)</t>
    </r>
    <r>
      <rPr>
        <sz val="11"/>
        <rFont val="Arial"/>
        <family val="2"/>
      </rPr>
      <t xml:space="preserve">. For organic nutrients, refer to </t>
    </r>
    <r>
      <rPr>
        <i/>
        <sz val="11"/>
        <rFont val="Arial"/>
        <family val="2"/>
      </rPr>
      <t>NRCS Practice Standard 590 (November 2012)</t>
    </r>
    <r>
      <rPr>
        <sz val="11"/>
        <rFont val="Arial"/>
        <family val="2"/>
      </rPr>
      <t xml:space="preserve"> for environmental limits to determine risk for P movement from the field.</t>
    </r>
  </si>
  <si>
    <t>Manure Application Date (Julian Date)</t>
  </si>
  <si>
    <t>Manure Application Date (Julian Date) =</t>
  </si>
  <si>
    <t>May-Jun</t>
  </si>
  <si>
    <t>Timing of Manure Application =</t>
  </si>
  <si>
    <t>Manure Application Date (Calendar Date) =</t>
  </si>
  <si>
    <t>Manure Nutrients Applied (lbs/ac)</t>
  </si>
  <si>
    <r>
      <t>Additional Fertilizer Needed to Meet Nutrient Recommendations</t>
    </r>
    <r>
      <rPr>
        <b/>
        <vertAlign val="superscript"/>
        <sz val="13"/>
        <rFont val="Arial"/>
        <family val="2"/>
      </rPr>
      <t>6,7</t>
    </r>
  </si>
  <si>
    <r>
      <t xml:space="preserve"> </t>
    </r>
    <r>
      <rPr>
        <vertAlign val="superscript"/>
        <sz val="12"/>
        <rFont val="Arial"/>
        <family val="2"/>
      </rPr>
      <t>8</t>
    </r>
    <r>
      <rPr>
        <sz val="12"/>
        <rFont val="Arial"/>
        <family val="2"/>
      </rPr>
      <t>MAP and DAP rates based on P content only, no N credit given.</t>
    </r>
  </si>
  <si>
    <t xml:space="preserve">lbs/ac N </t>
  </si>
  <si>
    <t>Manure Application Rate (gal/ac) =</t>
  </si>
  <si>
    <t>Field Unit Size -</t>
  </si>
  <si>
    <t>Total Applied to Field Unit (gal) =</t>
  </si>
  <si>
    <r>
      <rPr>
        <u/>
        <sz val="11"/>
        <rFont val="Arial"/>
        <family val="2"/>
      </rPr>
      <t>Additional</t>
    </r>
    <r>
      <rPr>
        <sz val="11"/>
        <rFont val="Arial"/>
        <family val="2"/>
      </rPr>
      <t xml:space="preserve"> Fertilizer to be Applied prior to 1st Year Crop to Meet Nutrient Recs </t>
    </r>
    <r>
      <rPr>
        <vertAlign val="superscript"/>
        <sz val="11"/>
        <rFont val="Arial"/>
        <family val="2"/>
      </rPr>
      <t>7</t>
    </r>
    <r>
      <rPr>
        <sz val="11"/>
        <rFont val="Arial"/>
        <family val="2"/>
      </rPr>
      <t xml:space="preserve"> (lbs/ac)</t>
    </r>
  </si>
  <si>
    <t>Planning Period =</t>
  </si>
  <si>
    <r>
      <rPr>
        <vertAlign val="superscript"/>
        <sz val="12"/>
        <rFont val="Arial"/>
        <family val="2"/>
      </rPr>
      <t>7</t>
    </r>
    <r>
      <rPr>
        <sz val="12"/>
        <rFont val="Arial"/>
        <family val="2"/>
      </rPr>
      <t>Nutrients assumed to be applied prior to First Year crop and are limited to the max. 1 year application rate as per NRCS 590. May need to apply additional nutrients later in planning period to fertlize for remaining years of crop rotation (refer to notes in red font above)</t>
    </r>
    <r>
      <rPr>
        <vertAlign val="superscript"/>
        <sz val="12"/>
        <rFont val="Arial"/>
        <family val="2"/>
      </rPr>
      <t>.</t>
    </r>
  </si>
  <si>
    <t xml:space="preserve">Phosphorous (P) </t>
  </si>
  <si>
    <t xml:space="preserve">Potassium (K) </t>
  </si>
  <si>
    <r>
      <t xml:space="preserve">NRCS P Soil Test Risk Assessment </t>
    </r>
    <r>
      <rPr>
        <vertAlign val="superscript"/>
        <sz val="11"/>
        <rFont val="Arial"/>
        <family val="2"/>
      </rPr>
      <t>2,4</t>
    </r>
    <r>
      <rPr>
        <sz val="11"/>
        <rFont val="Arial"/>
        <family val="2"/>
      </rPr>
      <t xml:space="preserve"> =</t>
    </r>
  </si>
  <si>
    <r>
      <rPr>
        <u/>
        <sz val="11"/>
        <rFont val="Arial"/>
        <family val="2"/>
      </rPr>
      <t xml:space="preserve">Next Crop </t>
    </r>
    <r>
      <rPr>
        <u/>
        <vertAlign val="superscript"/>
        <sz val="11"/>
        <rFont val="Arial"/>
        <family val="2"/>
      </rPr>
      <t>7</t>
    </r>
    <r>
      <rPr>
        <sz val="11"/>
        <rFont val="Arial"/>
        <family val="2"/>
      </rPr>
      <t xml:space="preserve"> (lbs/ac)</t>
    </r>
  </si>
  <si>
    <t>First Year (next crop)</t>
  </si>
  <si>
    <t>(Enter Date of Manure Application)</t>
  </si>
  <si>
    <t>Solid (Non-poultry)</t>
  </si>
  <si>
    <t>Manure Type -</t>
  </si>
  <si>
    <t>lbs/ 1,000 gallons</t>
  </si>
  <si>
    <t>lbs/ ton</t>
  </si>
  <si>
    <r>
      <t xml:space="preserve">Soil Test Level Range </t>
    </r>
    <r>
      <rPr>
        <vertAlign val="superscript"/>
        <sz val="11"/>
        <rFont val="Arial"/>
        <family val="2"/>
      </rPr>
      <t>2,3</t>
    </r>
  </si>
  <si>
    <t>Adjusted values*</t>
  </si>
  <si>
    <r>
      <t>*It is assumed that 50% of the organic N in poultry manure is rapidly convert</t>
    </r>
    <r>
      <rPr>
        <sz val="10"/>
        <rFont val="Arial"/>
        <family val="2"/>
      </rPr>
      <t>ed to NH4</t>
    </r>
    <r>
      <rPr>
        <sz val="10"/>
        <rFont val="Arial"/>
        <family val="2"/>
      </rPr>
      <t xml:space="preserve"> and is therefore included in the NH</t>
    </r>
    <r>
      <rPr>
        <sz val="10"/>
        <rFont val="Arial"/>
        <family val="2"/>
      </rPr>
      <t>4 c</t>
    </r>
    <r>
      <rPr>
        <sz val="10"/>
        <rFont val="Arial"/>
        <family val="2"/>
      </rPr>
      <t>olumn for calculating available N.</t>
    </r>
  </si>
  <si>
    <t>Manure Nutrients</t>
  </si>
  <si>
    <t>Manure Application Rate (tons/ac) =</t>
  </si>
  <si>
    <t>Total Applied to Field Unit (tons) =</t>
  </si>
  <si>
    <t>Liquid Manure</t>
  </si>
  <si>
    <r>
      <t xml:space="preserve">Fertility Recommendations </t>
    </r>
    <r>
      <rPr>
        <vertAlign val="superscript"/>
        <sz val="11"/>
        <rFont val="Arial"/>
        <family val="2"/>
      </rPr>
      <t>6</t>
    </r>
  </si>
  <si>
    <t>Max. N-Limited Rate =</t>
  </si>
  <si>
    <t>Max. P-Limited rate =</t>
  </si>
  <si>
    <t>Which Rate is Limiting?</t>
  </si>
  <si>
    <t>Attempting to provide some guidance as to whether the N rate or single or multi-year P rate will limit applications</t>
  </si>
  <si>
    <t>Rate is limiting?</t>
  </si>
  <si>
    <t>(No Additional P)</t>
  </si>
  <si>
    <t>N Rate Limiting</t>
  </si>
  <si>
    <t>Max. P Rate Limiting</t>
  </si>
  <si>
    <t>(Multi-Year P)</t>
  </si>
  <si>
    <t>(Single-Year P)</t>
  </si>
  <si>
    <t>Single Year</t>
  </si>
  <si>
    <t>Silage Corn (35% DM) (tons/ac)</t>
  </si>
  <si>
    <t>Alfalfa (100% DM) (tons/ac)</t>
  </si>
  <si>
    <t>Grass forages (100% DM) (tons/ac)</t>
  </si>
  <si>
    <t>Poultry Manure (Solid)</t>
  </si>
  <si>
    <t>Predicted Change in STP after planned crop rotation of</t>
  </si>
  <si>
    <t>Net P2O5 (applied minus removal) lbs/ac</t>
  </si>
  <si>
    <t>lbs P2O5/ac</t>
  </si>
  <si>
    <t>Predicted change in Soil Test P at end of plan period if no fertilizer applied =</t>
  </si>
  <si>
    <t>Silage Corn (after legumes) (35% DM) (tons/ac)</t>
  </si>
  <si>
    <r>
      <t xml:space="preserve">The next step is to enter information related to the crop rotation for the planning period.  Enter the yield goal for each crop to be grown for each year of the planning period (grain crop yields in bu/acre and forages in tons/acre). </t>
    </r>
    <r>
      <rPr>
        <u/>
        <sz val="10"/>
        <rFont val="Arial"/>
        <family val="2"/>
      </rPr>
      <t>Only enter the yield for one crop per year unless a double crop is proposed.</t>
    </r>
    <r>
      <rPr>
        <sz val="10"/>
        <rFont val="Arial"/>
        <family val="2"/>
      </rPr>
      <t xml:space="preserve"> The planning period includes the crops to be fertilized with the proposed manure application. Based on the input soil test information, the tool will use the "Tri-State Fertilizer Recommendations" and NRCS Practice Standard 590 to calculate the total nutrient recommendations for the proposed crop rotation in the planning period and the maximum allowable application rates.</t>
    </r>
  </si>
  <si>
    <r>
      <t xml:space="preserve">Enter the yield goal (bu/ac or ton/ac) for each crop to be fertilized during the planning period, beginning with the First Year. </t>
    </r>
    <r>
      <rPr>
        <b/>
        <sz val="12.5"/>
        <rFont val="Arial"/>
        <family val="2"/>
      </rPr>
      <t>Enter yield goal for only one crop per year column, unless a "double crop" is planned</t>
    </r>
    <r>
      <rPr>
        <sz val="12.5"/>
        <rFont val="Arial"/>
        <family val="2"/>
      </rPr>
      <t xml:space="preserve">. </t>
    </r>
  </si>
  <si>
    <r>
      <t xml:space="preserve">Next the user would enter a manure application rate. The tool will calculate the amount of N-P-K applied (in lbs/ac) and compare these values to the calculated "Tri-State Fertilizer Recommendations" and the maximum allowable rates from NRCS Practice Standard 590 and ODA Rules. To meet those nutrient recommendations, the tool will then calcualte what additional nutrients would need to be applied </t>
    </r>
    <r>
      <rPr>
        <u/>
        <sz val="10"/>
        <rFont val="Arial"/>
        <family val="2"/>
      </rPr>
      <t>prior</t>
    </r>
    <r>
      <rPr>
        <sz val="10"/>
        <rFont val="Arial"/>
        <family val="2"/>
      </rPr>
      <t xml:space="preserve"> to the first year crop of the planned rotation.  Additional nutrients may be needed in the following years of the planning period, because NRCS Practice Standard 590 limits the single-year application rates. The area at the bottom of the page will populate with notes in </t>
    </r>
    <r>
      <rPr>
        <b/>
        <sz val="10"/>
        <color rgb="FFFF0000"/>
        <rFont val="Arial"/>
        <family val="2"/>
      </rPr>
      <t>bold red text</t>
    </r>
    <r>
      <rPr>
        <sz val="10"/>
        <rFont val="Arial"/>
        <family val="2"/>
      </rPr>
      <t xml:space="preserve"> if the manure application rate exceeds either the calculated "recommneded" or "maximum" rates. The tool calculates any nutrient shortfalls for the planning period not met by the manure application rate, that could be applied ahead of the first year crop. The nutrient shortfall is then converted to application rates of several common commercial fertilizer sources.  Note that for a multi-year crop rotation, additional fertilizer applications may be required during subsequent years of the planning period to meet those fertilizer recommendations not met during the first year.</t>
    </r>
  </si>
  <si>
    <t xml:space="preserve">Limit to Max.  </t>
  </si>
  <si>
    <t xml:space="preserve">Allowable Rate  </t>
  </si>
  <si>
    <t>(Max. 250 lbs P2O5/acre)</t>
  </si>
  <si>
    <t>lbs/ac Anhydrous (82-0-0)</t>
  </si>
  <si>
    <t>gal/ac of UAN (28-0-0)</t>
  </si>
  <si>
    <t>lbs/ac of Urea (46-0-0)</t>
  </si>
  <si>
    <r>
      <t xml:space="preserve">lbs/ac of MAP </t>
    </r>
    <r>
      <rPr>
        <b/>
        <vertAlign val="superscript"/>
        <sz val="12"/>
        <rFont val="Arial"/>
        <family val="2"/>
      </rPr>
      <t>8</t>
    </r>
    <r>
      <rPr>
        <b/>
        <sz val="12"/>
        <rFont val="Arial"/>
        <family val="2"/>
      </rPr>
      <t xml:space="preserve"> (11-52-0)</t>
    </r>
  </si>
  <si>
    <r>
      <t xml:space="preserve">lbs/ac of DAP </t>
    </r>
    <r>
      <rPr>
        <b/>
        <vertAlign val="superscript"/>
        <sz val="12"/>
        <rFont val="Arial"/>
        <family val="2"/>
      </rPr>
      <t>8</t>
    </r>
    <r>
      <rPr>
        <b/>
        <sz val="12"/>
        <rFont val="Arial"/>
        <family val="2"/>
      </rPr>
      <t xml:space="preserve"> (18-46-0)</t>
    </r>
  </si>
  <si>
    <t>lbs/ac of Potash (0-0-60)</t>
  </si>
  <si>
    <t xml:space="preserve"> Fertilizer Type</t>
  </si>
  <si>
    <t>Anhydrous (82-0-0)</t>
  </si>
  <si>
    <t>UAN (28-0-0)</t>
  </si>
  <si>
    <t>Urea (46-0-0)</t>
  </si>
  <si>
    <t>MAP* (11-52-0)</t>
  </si>
  <si>
    <t>DAP* (18-46-0)</t>
  </si>
  <si>
    <t>Potash (0-0-60)</t>
  </si>
  <si>
    <t>*MAP and DAP equivalents based on P content only</t>
  </si>
  <si>
    <t>**Enter current retail price per ton of fertilizers (contact local supplier)</t>
  </si>
  <si>
    <t>Fertility Recommendations</t>
  </si>
  <si>
    <t>Recommended Fertilizer Rate (lbs/ac)</t>
  </si>
  <si>
    <t>Amount of Selected Fertilizer that is Equivalent to the Applied Manure Nutrients (lbs/ac)</t>
  </si>
  <si>
    <t>Manure Nutrients Applied at Selected Rate</t>
  </si>
  <si>
    <t>Value of Applied Manure Nutrients as Selected Fertilizer Type ($/ac)</t>
  </si>
  <si>
    <t>Cost of Recommended Fertilizer Nutrients ($/ac)</t>
  </si>
  <si>
    <r>
      <t xml:space="preserve">This spreadsheet tool is a Microsoft Excel Workbook consisting of </t>
    </r>
    <r>
      <rPr>
        <b/>
        <sz val="10"/>
        <rFont val="Arial"/>
        <family val="2"/>
      </rPr>
      <t>two</t>
    </r>
    <r>
      <rPr>
        <sz val="10"/>
        <rFont val="Arial"/>
        <family val="2"/>
      </rPr>
      <t xml:space="preserve"> worksheets accessed by clicking the tab at the bottom of the window. The worksheets are locked so that the formula cells are not accidentally deleted or changed by the user. Input cells are shaded light yellow with </t>
    </r>
    <r>
      <rPr>
        <b/>
        <sz val="10"/>
        <color rgb="FF0000FF"/>
        <rFont val="Arial"/>
        <family val="2"/>
      </rPr>
      <t>bold blue text</t>
    </r>
    <r>
      <rPr>
        <sz val="10"/>
        <rFont val="Arial"/>
        <family val="2"/>
      </rPr>
      <t>. Some input cells include a drop down menu from which the user must select a value. The input cells are where the user enters the manure application date, the type of manure, soil test information, the nutrient content of the manure, the planned crop rotation, and some additional information related to the proposed manure application.  When input cells are populated, the worksheet can be copied to represent multiple management zones or fields. The worksheet is generally sized so that it can be easily printed to retain a hard copy for record keeping.</t>
    </r>
  </si>
  <si>
    <t>Step 4</t>
  </si>
  <si>
    <t xml:space="preserve">Optional. If the user wishes to know the cost of the recommended fertilizer nutrients and the dollar value of the manure nutrients that would be applied at the selected application rate, then open the worksheet titled "Nutrient $ Value". Here the user enters the retail price of selected forms of bulk fertilizer (price per ton). The table will calculate the cost per acre of the fertilizer recommendations as well as the dollar value of the manure nutrients applied at the selected application rate as a replacement for the selected type of fertilizer.  </t>
  </si>
  <si>
    <t>From Previous Worksheet:</t>
  </si>
  <si>
    <t>Total $/ac</t>
  </si>
  <si>
    <r>
      <t xml:space="preserve">Cost of Recommended Fertilizer Nutrients to Meet Fertility Recommendations </t>
    </r>
    <r>
      <rPr>
        <u/>
        <sz val="10"/>
        <rFont val="Arial"/>
        <family val="2"/>
      </rPr>
      <t>after</t>
    </r>
    <r>
      <rPr>
        <sz val="10"/>
        <rFont val="Arial"/>
        <family val="2"/>
      </rPr>
      <t xml:space="preserve"> Manure Nutrients Applied at the Selected Rate</t>
    </r>
  </si>
  <si>
    <t>Recommended Fertilizer Rate after Manure Application (lbs/ac)</t>
  </si>
  <si>
    <t>Cost of Recommended Fertilizer Nutrients to Meet Fertility Recommendations (Fertilizer only; no Manure)</t>
  </si>
  <si>
    <t>Cost of Recommeded Fertilizer Nutrients ($/ac)</t>
  </si>
  <si>
    <t xml:space="preserve">Value of Manure Nutrients Applied at the Selected Rate as a Replacement for Selected Types of Fertilizer </t>
  </si>
  <si>
    <r>
      <t>Notes to users of the ODA Fertility Management Tool -</t>
    </r>
    <r>
      <rPr>
        <sz val="10"/>
        <color indexed="10"/>
        <rFont val="Arial"/>
        <family val="2"/>
      </rPr>
      <t xml:space="preserve"> v5.0 (AUG 2020) - All Manure Types  </t>
    </r>
  </si>
  <si>
    <r>
      <rPr>
        <b/>
        <u/>
        <sz val="10"/>
        <rFont val="Arial"/>
        <family val="2"/>
      </rPr>
      <t>Enter</t>
    </r>
    <r>
      <rPr>
        <sz val="10"/>
        <rFont val="Arial"/>
        <family val="2"/>
      </rPr>
      <t xml:space="preserve"> Price of Fertilizer Source Used ($/Ton)**</t>
    </r>
  </si>
  <si>
    <t>Price of Fertilizer Source Used ($/Ton)**</t>
  </si>
  <si>
    <t>**Enter current retail price per ton of fertilizers (contact your local supplier)</t>
  </si>
  <si>
    <r>
      <rPr>
        <vertAlign val="superscript"/>
        <sz val="11"/>
        <rFont val="Arial"/>
        <family val="2"/>
      </rPr>
      <t>2</t>
    </r>
    <r>
      <rPr>
        <sz val="11"/>
        <rFont val="Arial"/>
        <family val="2"/>
      </rPr>
      <t>Relationship between Mehlich-3 ICP and Bray-Kurtz P1 soil test P values assumed to follow the linear relationship described in OSU Fact Sheet #ANR-75, "Converting between Mehlich-3, Bray P, and Ammonium Acetate Soil Test Values", June 14 2019. Note that both current Tri-State Fertilizer Recommendations and NRCS 590 are based on Bray P1 soil test values.</t>
    </r>
  </si>
  <si>
    <r>
      <rPr>
        <vertAlign val="superscript"/>
        <sz val="11"/>
        <rFont val="Arial"/>
        <family val="2"/>
      </rPr>
      <t>4</t>
    </r>
    <r>
      <rPr>
        <sz val="11"/>
        <rFont val="Arial"/>
        <family val="2"/>
      </rPr>
      <t>Refer to NRCS 590 (2012) for Phosphorous Soil Test Risk Assessment Procedures for organic nutrients.</t>
    </r>
  </si>
  <si>
    <r>
      <t xml:space="preserve">This tool is intended to provide producers with information, not to provide specific recommendations or guidance. Specifically this tool provides information related to the management of crop fertility needs through the addition of manure nutrients and commercial fertilizers. Use of this tool </t>
    </r>
    <r>
      <rPr>
        <u/>
        <sz val="10"/>
        <rFont val="Arial"/>
        <family val="2"/>
      </rPr>
      <t>does not</t>
    </r>
    <r>
      <rPr>
        <sz val="10"/>
        <rFont val="Arial"/>
        <family val="2"/>
      </rPr>
      <t xml:space="preserve"> relieve the producer from the obligation to fully understand and abide by all applicable rules, regulations, and best management practices (BMPs). The tool primarily references two complementary documents. The </t>
    </r>
    <r>
      <rPr>
        <i/>
        <sz val="10"/>
        <rFont val="Arial"/>
        <family val="2"/>
      </rPr>
      <t>"Tri-State Fertilizer Recommenations For Corn, Soybeans, Wheat, &amp; Alfalfa (2000</t>
    </r>
    <r>
      <rPr>
        <sz val="10"/>
        <rFont val="Arial"/>
        <family val="2"/>
      </rPr>
      <t xml:space="preserve">)" is used to determine fertility recommendations for a given crop or rotation of crops.  And </t>
    </r>
    <r>
      <rPr>
        <i/>
        <sz val="10"/>
        <rFont val="Arial"/>
        <family val="2"/>
      </rPr>
      <t>NRCS Practice Standard 590 (November 2012)</t>
    </r>
    <r>
      <rPr>
        <sz val="10"/>
        <rFont val="Arial"/>
        <family val="2"/>
      </rPr>
      <t xml:space="preserve"> is used to identify BMPs and maximum nutrient application rates to minimize non-point source pollution of surface and groundwater resources. NRCS 590 is applicable to the application of all nutrient sources, and it refers to the "Tri-State Fertilizer Recommendations" throughout. </t>
    </r>
  </si>
  <si>
    <t>Enter the field and soil test information, choosing the units of measure and soil test P extraction method using the drop-down menus.  Note that both the current versions of "Tri-State Fertilizer Recommendations" and NRCS Practice Standard 590 are based on soil test P values using the Bray P1 extraction method.This tool will convert Mehlich 3 ICP input values to an equivlent Bray P1 value, for the purposes of referencing these two documents. A note will pop up warning the user if the soil test information is more than 3 years old. Next the user will input the information for the manure nutrient analysis and the method of application (to calculate the N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</si>
</sst>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409]dd\-mmm\-yy;@"/>
    <numFmt numFmtId="166" formatCode="0.000"/>
    <numFmt numFmtId="167" formatCode="mm/dd/yy;@"/>
    <numFmt numFmtId="168" formatCode="m/d/yy;@"/>
    <numFmt numFmtId="169" formatCode="#,##0.0"/>
    <numFmt numFmtId="170" formatCode="_(* #,##0_);_(* \(#,##0\);_(* &quot;-&quot;??_);_(@_)"/>
    <numFmt numFmtId="171" formatCode="0.0000"/>
    <numFmt numFmtId="172" formatCode="_(&quot;$&quot;* #,##0.00_);_(&quot;$&quot;* \(#,##0.00\);_(&quot;$&quot;* &quot;-&quot;_);_(@_)"/>
  </numFmts>
  <fonts count="69" x14ac:knownFonts="1">
    <font>
      <sz val="10"/>
      <name val="Arial"/>
    </font>
    <font>
      <sz val="10"/>
      <name val="Arial"/>
      <family val="2"/>
    </font>
    <font>
      <sz val="10"/>
      <color indexed="12"/>
      <name val="Arial"/>
      <family val="2"/>
    </font>
    <font>
      <vertAlign val="subscript"/>
      <sz val="10"/>
      <name val="Arial"/>
      <family val="2"/>
    </font>
    <font>
      <u/>
      <sz val="10"/>
      <name val="Arial"/>
      <family val="2"/>
    </font>
    <font>
      <b/>
      <sz val="10"/>
      <name val="Arial"/>
      <family val="2"/>
    </font>
    <font>
      <sz val="10"/>
      <name val="Arial"/>
      <family val="2"/>
    </font>
    <font>
      <b/>
      <sz val="11"/>
      <name val="Arial"/>
      <family val="2"/>
    </font>
    <font>
      <sz val="14"/>
      <name val="Arial"/>
      <family val="2"/>
    </font>
    <font>
      <sz val="9"/>
      <name val="Arial"/>
      <family val="2"/>
    </font>
    <font>
      <b/>
      <sz val="10"/>
      <color indexed="12"/>
      <name val="Arial"/>
      <family val="2"/>
    </font>
    <font>
      <sz val="12"/>
      <name val="Arial"/>
      <family val="2"/>
    </font>
    <font>
      <sz val="11"/>
      <name val="Arial"/>
      <family val="2"/>
    </font>
    <font>
      <sz val="12"/>
      <name val="Arial"/>
      <family val="2"/>
    </font>
    <font>
      <sz val="8"/>
      <name val="Arial"/>
      <family val="2"/>
    </font>
    <font>
      <u/>
      <sz val="10"/>
      <color indexed="12"/>
      <name val="Arial"/>
      <family val="2"/>
    </font>
    <font>
      <sz val="10"/>
      <color indexed="10"/>
      <name val="Arial"/>
      <family val="2"/>
    </font>
    <font>
      <b/>
      <sz val="11"/>
      <color indexed="10"/>
      <name val="Arial"/>
      <family val="2"/>
    </font>
    <font>
      <b/>
      <sz val="11"/>
      <color indexed="12"/>
      <name val="Arial"/>
      <family val="2"/>
    </font>
    <font>
      <b/>
      <sz val="12"/>
      <color indexed="12"/>
      <name val="Arial"/>
      <family val="2"/>
    </font>
    <font>
      <b/>
      <sz val="12"/>
      <name val="Arial"/>
      <family val="2"/>
    </font>
    <font>
      <b/>
      <sz val="14"/>
      <name val="Arial"/>
      <family val="2"/>
    </font>
    <font>
      <sz val="13"/>
      <name val="Arial"/>
      <family val="2"/>
    </font>
    <font>
      <b/>
      <sz val="13"/>
      <name val="Arial"/>
      <family val="2"/>
    </font>
    <font>
      <sz val="9"/>
      <color indexed="81"/>
      <name val="Tahoma"/>
      <family val="2"/>
    </font>
    <font>
      <b/>
      <sz val="9"/>
      <color indexed="81"/>
      <name val="Tahoma"/>
      <family val="2"/>
    </font>
    <font>
      <vertAlign val="superscript"/>
      <sz val="10"/>
      <name val="Arial"/>
      <family val="2"/>
    </font>
    <font>
      <vertAlign val="superscript"/>
      <sz val="12"/>
      <name val="Arial"/>
      <family val="2"/>
    </font>
    <font>
      <b/>
      <vertAlign val="superscript"/>
      <sz val="12"/>
      <name val="Arial"/>
      <family val="2"/>
    </font>
    <font>
      <sz val="11"/>
      <color indexed="12"/>
      <name val="Arial"/>
      <family val="2"/>
    </font>
    <font>
      <b/>
      <sz val="11"/>
      <color rgb="FF050C9D"/>
      <name val="Arial"/>
      <family val="2"/>
    </font>
    <font>
      <vertAlign val="subscript"/>
      <sz val="12"/>
      <name val="Arial"/>
      <family val="2"/>
    </font>
    <font>
      <vertAlign val="superscript"/>
      <sz val="11"/>
      <name val="Arial"/>
      <family val="2"/>
    </font>
    <font>
      <sz val="12.5"/>
      <name val="Arial"/>
      <family val="2"/>
    </font>
    <font>
      <b/>
      <sz val="11"/>
      <color rgb="FF0036A2"/>
      <name val="Arial"/>
      <family val="2"/>
    </font>
    <font>
      <b/>
      <sz val="12"/>
      <color rgb="FF050C9D"/>
      <name val="Arial"/>
      <family val="2"/>
    </font>
    <font>
      <sz val="10"/>
      <color rgb="FF050C9D"/>
      <name val="Arial"/>
      <family val="2"/>
    </font>
    <font>
      <b/>
      <sz val="11"/>
      <color rgb="FFFF0000"/>
      <name val="Arial"/>
      <family val="2"/>
    </font>
    <font>
      <vertAlign val="subscript"/>
      <sz val="11"/>
      <name val="Arial"/>
      <family val="2"/>
    </font>
    <font>
      <b/>
      <sz val="11"/>
      <color rgb="FF0000FF"/>
      <name val="Arial"/>
      <family val="2"/>
    </font>
    <font>
      <sz val="11"/>
      <color rgb="FF0000FF"/>
      <name val="Arial"/>
      <family val="2"/>
    </font>
    <font>
      <sz val="11"/>
      <color rgb="FFFF0000"/>
      <name val="Arial"/>
      <family val="2"/>
    </font>
    <font>
      <b/>
      <sz val="10.5"/>
      <name val="Arial"/>
      <family val="2"/>
    </font>
    <font>
      <b/>
      <vertAlign val="subscript"/>
      <sz val="10.5"/>
      <name val="Arial"/>
      <family val="2"/>
    </font>
    <font>
      <u/>
      <sz val="11"/>
      <name val="Arial"/>
      <family val="2"/>
    </font>
    <font>
      <i/>
      <sz val="11"/>
      <name val="Arial"/>
      <family val="2"/>
    </font>
    <font>
      <u/>
      <vertAlign val="superscript"/>
      <sz val="11"/>
      <name val="Arial"/>
      <family val="2"/>
    </font>
    <font>
      <b/>
      <sz val="10"/>
      <color rgb="FFFF0000"/>
      <name val="Arial"/>
      <family val="2"/>
    </font>
    <font>
      <i/>
      <sz val="12"/>
      <name val="Arial"/>
      <family val="2"/>
    </font>
    <font>
      <i/>
      <sz val="10"/>
      <name val="Arial"/>
      <family val="2"/>
    </font>
    <font>
      <b/>
      <vertAlign val="superscript"/>
      <sz val="13"/>
      <name val="Arial"/>
      <family val="2"/>
    </font>
    <font>
      <sz val="10"/>
      <name val="Arial"/>
      <family val="2"/>
    </font>
    <font>
      <b/>
      <sz val="13"/>
      <color rgb="FF0000FF"/>
      <name val="Arial"/>
      <family val="2"/>
    </font>
    <font>
      <b/>
      <sz val="12.5"/>
      <name val="Arial"/>
      <family val="2"/>
    </font>
    <font>
      <b/>
      <sz val="14"/>
      <color rgb="FF0000FF"/>
      <name val="Arial"/>
      <family val="2"/>
    </font>
    <font>
      <b/>
      <sz val="14"/>
      <color rgb="FFFF0000"/>
      <name val="Arial"/>
      <family val="2"/>
    </font>
    <font>
      <b/>
      <sz val="9.5"/>
      <color rgb="FF0000FF"/>
      <name val="Arial"/>
      <family val="2"/>
    </font>
    <font>
      <b/>
      <sz val="11"/>
      <name val="Wingdings 3"/>
      <family val="1"/>
      <charset val="2"/>
    </font>
    <font>
      <b/>
      <sz val="16"/>
      <color rgb="FFFF0000"/>
      <name val="Wingdings 3"/>
      <family val="1"/>
      <charset val="2"/>
    </font>
    <font>
      <b/>
      <sz val="12"/>
      <color theme="9" tint="-0.499984740745262"/>
      <name val="Arial"/>
      <family val="2"/>
    </font>
    <font>
      <sz val="10"/>
      <color theme="9" tint="-0.499984740745262"/>
      <name val="Arial"/>
      <family val="2"/>
    </font>
    <font>
      <b/>
      <sz val="16"/>
      <color theme="9" tint="-0.499984740745262"/>
      <name val="Wingdings 3"/>
      <family val="1"/>
      <charset val="2"/>
    </font>
    <font>
      <sz val="12"/>
      <color theme="9" tint="-0.499984740745262"/>
      <name val="Arial"/>
      <family val="2"/>
    </font>
    <font>
      <sz val="24"/>
      <name val="Wingdings"/>
      <charset val="2"/>
    </font>
    <font>
      <b/>
      <sz val="10"/>
      <color rgb="FF0000FF"/>
      <name val="Arial"/>
      <family val="2"/>
    </font>
    <font>
      <b/>
      <sz val="15"/>
      <color rgb="FFFF0000"/>
      <name val="Arial"/>
      <family val="2"/>
    </font>
    <font>
      <b/>
      <sz val="15"/>
      <color theme="9" tint="-0.499984740745262"/>
      <name val="Arial"/>
      <family val="2"/>
    </font>
    <font>
      <sz val="10"/>
      <name val="Arial"/>
      <family val="2"/>
    </font>
    <font>
      <b/>
      <u/>
      <sz val="10"/>
      <name val="Arial"/>
      <family val="2"/>
    </font>
  </fonts>
  <fills count="1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FFA7"/>
        <bgColor indexed="64"/>
      </patternFill>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9" tint="0.79998168889431442"/>
        <bgColor indexed="64"/>
      </patternFill>
    </fill>
  </fills>
  <borders count="79">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5" fillId="0" borderId="0" applyNumberFormat="0" applyFill="0" applyBorder="0" applyAlignment="0" applyProtection="0">
      <alignment vertical="top"/>
      <protection locked="0"/>
    </xf>
    <xf numFmtId="43" fontId="51" fillId="0" borderId="0" applyFont="0" applyFill="0" applyBorder="0" applyAlignment="0" applyProtection="0"/>
    <xf numFmtId="44" fontId="67" fillId="0" borderId="0" applyFont="0" applyFill="0" applyBorder="0" applyAlignment="0" applyProtection="0"/>
  </cellStyleXfs>
  <cellXfs count="795">
    <xf numFmtId="0" fontId="0" fillId="0" borderId="0" xfId="0"/>
    <xf numFmtId="0" fontId="0" fillId="0" borderId="0" xfId="0" applyBorder="1" applyProtection="1"/>
    <xf numFmtId="0" fontId="0" fillId="0" borderId="0" xfId="0" applyProtection="1"/>
    <xf numFmtId="0" fontId="0" fillId="0" borderId="0" xfId="0" applyBorder="1" applyAlignment="1" applyProtection="1">
      <alignment vertical="center"/>
    </xf>
    <xf numFmtId="0" fontId="0" fillId="0" borderId="0" xfId="0" applyBorder="1" applyAlignment="1" applyProtection="1">
      <alignment horizontal="center"/>
    </xf>
    <xf numFmtId="0" fontId="0" fillId="0" borderId="0" xfId="0" applyFill="1" applyBorder="1" applyAlignment="1" applyProtection="1">
      <alignment horizontal="right" vertical="center"/>
    </xf>
    <xf numFmtId="0" fontId="0" fillId="0" borderId="0" xfId="0" applyFill="1" applyBorder="1" applyProtection="1"/>
    <xf numFmtId="0" fontId="0" fillId="0" borderId="1" xfId="0" applyBorder="1" applyAlignment="1" applyProtection="1">
      <alignment horizontal="center"/>
    </xf>
    <xf numFmtId="49" fontId="4" fillId="0" borderId="2" xfId="0" applyNumberFormat="1" applyFont="1" applyBorder="1" applyAlignment="1" applyProtection="1">
      <alignment horizontal="center"/>
    </xf>
    <xf numFmtId="0" fontId="8" fillId="0" borderId="0" xfId="0" applyFont="1" applyFill="1" applyBorder="1" applyAlignment="1" applyProtection="1">
      <alignment horizontal="center" vertical="center" textRotation="90" wrapText="1"/>
    </xf>
    <xf numFmtId="0" fontId="0" fillId="0" borderId="3" xfId="0" applyBorder="1" applyAlignment="1" applyProtection="1">
      <alignment horizontal="center"/>
    </xf>
    <xf numFmtId="49" fontId="0" fillId="0" borderId="4" xfId="0" applyNumberFormat="1" applyBorder="1" applyAlignment="1" applyProtection="1">
      <alignment horizontal="center"/>
    </xf>
    <xf numFmtId="49" fontId="4" fillId="0" borderId="4" xfId="0" applyNumberFormat="1" applyFont="1" applyBorder="1" applyAlignment="1" applyProtection="1">
      <alignment horizontal="center"/>
    </xf>
    <xf numFmtId="0" fontId="0" fillId="0" borderId="5" xfId="0" applyBorder="1" applyAlignment="1" applyProtection="1">
      <alignment horizontal="center"/>
    </xf>
    <xf numFmtId="49" fontId="0" fillId="0" borderId="6" xfId="0" applyNumberFormat="1" applyBorder="1" applyAlignment="1" applyProtection="1">
      <alignment horizontal="center"/>
    </xf>
    <xf numFmtId="164" fontId="5" fillId="0" borderId="0" xfId="0" applyNumberFormat="1" applyFont="1" applyFill="1" applyBorder="1" applyAlignment="1" applyProtection="1">
      <alignment horizontal="center"/>
    </xf>
    <xf numFmtId="0" fontId="0" fillId="0" borderId="0" xfId="0" applyBorder="1" applyAlignment="1" applyProtection="1">
      <alignment horizontal="right"/>
    </xf>
    <xf numFmtId="164" fontId="2" fillId="0" borderId="0" xfId="0" applyNumberFormat="1" applyFont="1" applyFill="1" applyBorder="1" applyAlignment="1" applyProtection="1">
      <alignment horizontal="center"/>
    </xf>
    <xf numFmtId="0" fontId="0" fillId="0" borderId="0" xfId="0" applyBorder="1" applyAlignment="1" applyProtection="1">
      <alignment vertical="center" wrapText="1"/>
    </xf>
    <xf numFmtId="0" fontId="11" fillId="0" borderId="0" xfId="0" applyFont="1" applyBorder="1" applyProtection="1"/>
    <xf numFmtId="164" fontId="5" fillId="0" borderId="0" xfId="0" applyNumberFormat="1" applyFont="1" applyBorder="1" applyAlignment="1" applyProtection="1">
      <alignment horizontal="center" vertical="center"/>
    </xf>
    <xf numFmtId="0" fontId="13" fillId="0" borderId="0" xfId="0" applyFont="1" applyBorder="1" applyAlignment="1" applyProtection="1">
      <alignment horizontal="center"/>
    </xf>
    <xf numFmtId="164" fontId="7" fillId="0" borderId="0" xfId="0" applyNumberFormat="1" applyFont="1" applyFill="1" applyBorder="1" applyAlignment="1" applyProtection="1">
      <alignment horizontal="center"/>
    </xf>
    <xf numFmtId="9"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49" fontId="4" fillId="0" borderId="0" xfId="0" applyNumberFormat="1" applyFont="1" applyFill="1" applyBorder="1" applyAlignment="1" applyProtection="1">
      <alignment horizontal="center"/>
    </xf>
    <xf numFmtId="49" fontId="0" fillId="0" borderId="0" xfId="0" applyNumberFormat="1" applyFill="1" applyBorder="1" applyAlignment="1" applyProtection="1">
      <alignment horizontal="center"/>
    </xf>
    <xf numFmtId="49" fontId="6" fillId="0" borderId="0" xfId="0" applyNumberFormat="1" applyFont="1" applyFill="1" applyBorder="1" applyAlignment="1" applyProtection="1">
      <alignment horizontal="right"/>
    </xf>
    <xf numFmtId="0" fontId="0" fillId="0" borderId="0" xfId="0" applyFill="1" applyBorder="1" applyAlignment="1" applyProtection="1">
      <alignment horizontal="right"/>
    </xf>
    <xf numFmtId="0" fontId="0" fillId="0" borderId="0" xfId="0" applyFill="1" applyBorder="1" applyAlignment="1" applyProtection="1">
      <alignment vertical="center"/>
    </xf>
    <xf numFmtId="164" fontId="5" fillId="0" borderId="0" xfId="0" applyNumberFormat="1" applyFont="1" applyFill="1" applyBorder="1" applyAlignment="1" applyProtection="1">
      <alignment horizontal="center" vertical="center"/>
    </xf>
    <xf numFmtId="164" fontId="0" fillId="0" borderId="0" xfId="0" applyNumberFormat="1" applyFill="1" applyBorder="1" applyAlignment="1" applyProtection="1">
      <alignment horizontal="center"/>
    </xf>
    <xf numFmtId="164" fontId="7" fillId="0" borderId="9" xfId="0" applyNumberFormat="1" applyFont="1" applyFill="1" applyBorder="1" applyAlignment="1" applyProtection="1">
      <alignment horizontal="center"/>
    </xf>
    <xf numFmtId="0" fontId="9" fillId="0" borderId="0" xfId="0" applyFont="1" applyBorder="1" applyProtection="1"/>
    <xf numFmtId="3" fontId="0" fillId="0" borderId="0" xfId="0" applyNumberFormat="1" applyBorder="1" applyProtection="1"/>
    <xf numFmtId="0" fontId="1" fillId="0" borderId="0" xfId="0" applyFont="1" applyFill="1" applyBorder="1" applyAlignment="1" applyProtection="1">
      <alignment horizontal="right" vertical="center"/>
    </xf>
    <xf numFmtId="0" fontId="2" fillId="0" borderId="0" xfId="0" applyFont="1" applyFill="1" applyBorder="1" applyAlignment="1" applyProtection="1">
      <alignment horizontal="center"/>
    </xf>
    <xf numFmtId="3" fontId="0" fillId="0" borderId="0" xfId="0" applyNumberFormat="1" applyFill="1" applyBorder="1" applyProtection="1"/>
    <xf numFmtId="164" fontId="10" fillId="0" borderId="0" xfId="0" applyNumberFormat="1" applyFont="1" applyFill="1" applyBorder="1" applyAlignment="1" applyProtection="1">
      <alignment horizontal="center" vertical="center"/>
    </xf>
    <xf numFmtId="3" fontId="10"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Fill="1" applyProtection="1"/>
    <xf numFmtId="0" fontId="0" fillId="0" borderId="0" xfId="0" applyFill="1" applyBorder="1" applyAlignment="1" applyProtection="1">
      <alignment horizontal="center" vertical="center"/>
    </xf>
    <xf numFmtId="3" fontId="5" fillId="0" borderId="0" xfId="0" applyNumberFormat="1" applyFont="1" applyBorder="1" applyAlignment="1" applyProtection="1">
      <alignment horizontal="right" vertical="center"/>
    </xf>
    <xf numFmtId="3" fontId="6" fillId="0" borderId="0" xfId="0" applyNumberFormat="1" applyFont="1" applyFill="1" applyBorder="1" applyAlignment="1" applyProtection="1">
      <alignment horizontal="left" vertical="center"/>
    </xf>
    <xf numFmtId="0" fontId="17" fillId="0" borderId="0" xfId="0" applyFont="1" applyBorder="1" applyAlignment="1" applyProtection="1">
      <alignment horizontal="left"/>
    </xf>
    <xf numFmtId="0" fontId="17" fillId="0" borderId="0" xfId="0" applyFont="1" applyBorder="1" applyProtection="1"/>
    <xf numFmtId="3" fontId="5" fillId="0" borderId="0" xfId="0" applyNumberFormat="1" applyFont="1" applyBorder="1" applyAlignment="1" applyProtection="1">
      <alignment horizontal="center" vertical="center"/>
    </xf>
    <xf numFmtId="0" fontId="0" fillId="3" borderId="21" xfId="0" applyFill="1" applyBorder="1" applyAlignment="1" applyProtection="1">
      <alignment horizontal="center" wrapText="1"/>
    </xf>
    <xf numFmtId="0" fontId="0" fillId="3" borderId="22" xfId="0" applyFill="1" applyBorder="1" applyAlignment="1" applyProtection="1">
      <alignment horizontal="center"/>
    </xf>
    <xf numFmtId="0" fontId="13" fillId="0" borderId="0" xfId="0" applyFont="1" applyBorder="1" applyAlignment="1" applyProtection="1">
      <alignment horizontal="left"/>
    </xf>
    <xf numFmtId="0" fontId="0" fillId="4" borderId="26" xfId="0" applyFill="1" applyBorder="1" applyAlignment="1" applyProtection="1">
      <alignment horizontal="center" vertical="center" wrapText="1"/>
    </xf>
    <xf numFmtId="0" fontId="0" fillId="4" borderId="27" xfId="0" applyFill="1" applyBorder="1" applyAlignment="1" applyProtection="1">
      <alignment horizontal="center" vertical="center" wrapText="1"/>
    </xf>
    <xf numFmtId="0" fontId="0" fillId="4" borderId="28" xfId="0" applyFill="1" applyBorder="1" applyAlignment="1" applyProtection="1">
      <alignment horizontal="center" vertical="center" wrapText="1"/>
    </xf>
    <xf numFmtId="9" fontId="0" fillId="4" borderId="11" xfId="0" applyNumberFormat="1" applyFill="1" applyBorder="1" applyAlignment="1" applyProtection="1">
      <alignment horizontal="center"/>
    </xf>
    <xf numFmtId="9" fontId="0" fillId="4" borderId="1" xfId="0" applyNumberFormat="1" applyFill="1" applyBorder="1" applyAlignment="1" applyProtection="1">
      <alignment horizontal="center"/>
    </xf>
    <xf numFmtId="9" fontId="0" fillId="4" borderId="13" xfId="0" applyNumberFormat="1" applyFill="1" applyBorder="1" applyAlignment="1" applyProtection="1">
      <alignment horizontal="center"/>
    </xf>
    <xf numFmtId="9" fontId="0" fillId="4" borderId="3" xfId="0" applyNumberFormat="1" applyFill="1" applyBorder="1" applyAlignment="1" applyProtection="1">
      <alignment horizontal="center"/>
    </xf>
    <xf numFmtId="9" fontId="0" fillId="4" borderId="15" xfId="0" applyNumberFormat="1" applyFill="1" applyBorder="1" applyAlignment="1" applyProtection="1">
      <alignment horizontal="center"/>
    </xf>
    <xf numFmtId="9" fontId="0" fillId="4" borderId="5" xfId="0" applyNumberFormat="1" applyFill="1" applyBorder="1" applyAlignment="1" applyProtection="1">
      <alignment horizontal="center"/>
    </xf>
    <xf numFmtId="0" fontId="0" fillId="4" borderId="25" xfId="0" applyFill="1" applyBorder="1" applyProtection="1"/>
    <xf numFmtId="0" fontId="10" fillId="0" borderId="0" xfId="0" applyFont="1" applyFill="1" applyBorder="1" applyAlignment="1" applyProtection="1">
      <alignment horizontal="left" vertical="center"/>
    </xf>
    <xf numFmtId="0" fontId="10" fillId="0" borderId="0" xfId="0" applyNumberFormat="1" applyFont="1" applyFill="1" applyBorder="1" applyAlignment="1" applyProtection="1">
      <alignment horizontal="center" vertical="center"/>
    </xf>
    <xf numFmtId="0" fontId="11" fillId="0" borderId="0" xfId="0" applyFont="1" applyBorder="1" applyAlignment="1" applyProtection="1">
      <alignment vertical="center"/>
    </xf>
    <xf numFmtId="3" fontId="11" fillId="0" borderId="21" xfId="0" applyNumberFormat="1" applyFont="1" applyFill="1" applyBorder="1" applyProtection="1">
      <protection hidden="1"/>
    </xf>
    <xf numFmtId="3" fontId="11" fillId="0" borderId="1" xfId="0" applyNumberFormat="1" applyFont="1" applyFill="1" applyBorder="1" applyAlignment="1" applyProtection="1">
      <alignment horizontal="center"/>
      <protection hidden="1"/>
    </xf>
    <xf numFmtId="3" fontId="11" fillId="0" borderId="32" xfId="0" applyNumberFormat="1" applyFont="1" applyFill="1" applyBorder="1" applyProtection="1">
      <protection hidden="1"/>
    </xf>
    <xf numFmtId="3" fontId="11" fillId="0" borderId="3" xfId="0" applyNumberFormat="1" applyFont="1" applyFill="1" applyBorder="1" applyAlignment="1" applyProtection="1">
      <alignment horizontal="center"/>
      <protection hidden="1"/>
    </xf>
    <xf numFmtId="3" fontId="20" fillId="0" borderId="24" xfId="0" applyNumberFormat="1" applyFont="1" applyFill="1" applyBorder="1" applyAlignment="1" applyProtection="1">
      <alignment horizontal="right"/>
      <protection hidden="1"/>
    </xf>
    <xf numFmtId="3" fontId="20" fillId="0" borderId="22" xfId="0" applyNumberFormat="1" applyFont="1" applyFill="1" applyBorder="1" applyProtection="1">
      <protection hidden="1"/>
    </xf>
    <xf numFmtId="3" fontId="20" fillId="0" borderId="12" xfId="0" applyNumberFormat="1" applyFont="1" applyFill="1" applyBorder="1" applyProtection="1">
      <protection hidden="1"/>
    </xf>
    <xf numFmtId="3" fontId="20" fillId="4" borderId="36" xfId="0" applyNumberFormat="1" applyFont="1" applyFill="1" applyBorder="1" applyAlignment="1" applyProtection="1">
      <alignment horizontal="right"/>
      <protection hidden="1"/>
    </xf>
    <xf numFmtId="3" fontId="20" fillId="4" borderId="3" xfId="0" applyNumberFormat="1" applyFont="1" applyFill="1" applyBorder="1" applyProtection="1">
      <protection hidden="1"/>
    </xf>
    <xf numFmtId="3" fontId="20" fillId="0" borderId="36" xfId="0" applyNumberFormat="1" applyFont="1" applyFill="1" applyBorder="1" applyAlignment="1" applyProtection="1">
      <alignment horizontal="right"/>
      <protection hidden="1"/>
    </xf>
    <xf numFmtId="3" fontId="20" fillId="0" borderId="3" xfId="0" applyNumberFormat="1" applyFont="1" applyFill="1" applyBorder="1" applyProtection="1">
      <protection hidden="1"/>
    </xf>
    <xf numFmtId="3" fontId="20" fillId="0" borderId="49" xfId="0" applyNumberFormat="1" applyFont="1" applyFill="1" applyBorder="1" applyProtection="1">
      <protection hidden="1"/>
    </xf>
    <xf numFmtId="3" fontId="20" fillId="0" borderId="13" xfId="0" applyNumberFormat="1" applyFont="1" applyFill="1" applyBorder="1" applyProtection="1">
      <protection hidden="1"/>
    </xf>
    <xf numFmtId="3" fontId="20" fillId="0" borderId="0" xfId="0" applyNumberFormat="1" applyFont="1" applyFill="1" applyBorder="1" applyAlignment="1" applyProtection="1">
      <alignment horizontal="right" vertical="center"/>
    </xf>
    <xf numFmtId="0" fontId="1" fillId="0" borderId="0" xfId="0" applyFont="1" applyBorder="1" applyAlignment="1" applyProtection="1">
      <alignment horizontal="right"/>
    </xf>
    <xf numFmtId="0" fontId="11" fillId="0" borderId="0" xfId="0" applyFont="1" applyBorder="1" applyAlignment="1" applyProtection="1">
      <alignment horizontal="left"/>
    </xf>
    <xf numFmtId="0" fontId="1" fillId="0" borderId="0" xfId="0" applyFont="1" applyProtection="1"/>
    <xf numFmtId="0" fontId="1" fillId="0" borderId="0" xfId="0" applyFont="1" applyBorder="1" applyProtection="1"/>
    <xf numFmtId="0" fontId="1" fillId="0" borderId="0" xfId="0" applyFont="1" applyFill="1" applyBorder="1" applyProtection="1"/>
    <xf numFmtId="0" fontId="11" fillId="0" borderId="0" xfId="0" applyFont="1" applyFill="1" applyBorder="1" applyAlignment="1" applyProtection="1">
      <alignment horizontal="right"/>
    </xf>
    <xf numFmtId="1" fontId="0" fillId="0" borderId="0" xfId="0" applyNumberFormat="1" applyBorder="1" applyProtection="1"/>
    <xf numFmtId="0" fontId="1" fillId="0" borderId="0" xfId="0" applyFont="1" applyBorder="1" applyAlignment="1" applyProtection="1">
      <alignment horizontal="center"/>
    </xf>
    <xf numFmtId="0" fontId="1" fillId="0" borderId="0" xfId="0" applyFont="1" applyFill="1" applyBorder="1" applyAlignment="1" applyProtection="1">
      <alignment wrapText="1"/>
    </xf>
    <xf numFmtId="0" fontId="1" fillId="0" borderId="0" xfId="0" applyFont="1" applyBorder="1" applyAlignment="1" applyProtection="1">
      <alignment horizontal="center" wrapText="1"/>
    </xf>
    <xf numFmtId="0" fontId="0" fillId="4" borderId="56" xfId="0" applyFill="1" applyBorder="1" applyAlignment="1" applyProtection="1">
      <alignment horizontal="center" wrapText="1"/>
    </xf>
    <xf numFmtId="3" fontId="20" fillId="0" borderId="56" xfId="0" applyNumberFormat="1" applyFont="1" applyFill="1" applyBorder="1" applyProtection="1">
      <protection hidden="1"/>
    </xf>
    <xf numFmtId="3" fontId="20" fillId="4" borderId="4" xfId="0" applyNumberFormat="1" applyFont="1" applyFill="1" applyBorder="1" applyProtection="1">
      <protection hidden="1"/>
    </xf>
    <xf numFmtId="3" fontId="20" fillId="0" borderId="55" xfId="0" applyNumberFormat="1" applyFont="1" applyFill="1" applyBorder="1" applyProtection="1">
      <protection hidden="1"/>
    </xf>
    <xf numFmtId="3" fontId="20" fillId="4" borderId="55" xfId="0" applyNumberFormat="1" applyFont="1" applyFill="1" applyBorder="1" applyProtection="1">
      <protection hidden="1"/>
    </xf>
    <xf numFmtId="0" fontId="1" fillId="4" borderId="56" xfId="0" applyFont="1" applyFill="1" applyBorder="1" applyAlignment="1" applyProtection="1">
      <alignment horizontal="center" wrapText="1"/>
    </xf>
    <xf numFmtId="3" fontId="20" fillId="0" borderId="0" xfId="0" applyNumberFormat="1" applyFont="1" applyBorder="1" applyAlignment="1" applyProtection="1">
      <alignment horizontal="center" vertical="center"/>
    </xf>
    <xf numFmtId="3" fontId="20" fillId="0" borderId="2" xfId="0" applyNumberFormat="1" applyFont="1" applyFill="1" applyBorder="1" applyProtection="1">
      <protection hidden="1"/>
    </xf>
    <xf numFmtId="3" fontId="20" fillId="0" borderId="6" xfId="0" applyNumberFormat="1" applyFont="1" applyBorder="1" applyProtection="1"/>
    <xf numFmtId="3" fontId="11" fillId="4" borderId="32" xfId="0" applyNumberFormat="1" applyFont="1" applyFill="1" applyBorder="1" applyProtection="1">
      <protection hidden="1"/>
    </xf>
    <xf numFmtId="3" fontId="11" fillId="4" borderId="9" xfId="0" applyNumberFormat="1" applyFont="1" applyFill="1" applyBorder="1" applyAlignment="1" applyProtection="1">
      <alignment horizontal="center"/>
      <protection hidden="1"/>
    </xf>
    <xf numFmtId="3" fontId="11" fillId="4" borderId="3" xfId="0" applyNumberFormat="1" applyFont="1" applyFill="1" applyBorder="1" applyAlignment="1" applyProtection="1">
      <alignment horizontal="center"/>
      <protection hidden="1"/>
    </xf>
    <xf numFmtId="3" fontId="20" fillId="5" borderId="4" xfId="0" applyNumberFormat="1" applyFont="1" applyFill="1" applyBorder="1" applyProtection="1">
      <protection hidden="1"/>
    </xf>
    <xf numFmtId="3" fontId="20" fillId="5" borderId="56" xfId="0" applyNumberFormat="1" applyFont="1" applyFill="1" applyBorder="1" applyProtection="1">
      <protection hidden="1"/>
    </xf>
    <xf numFmtId="0" fontId="1" fillId="6" borderId="56" xfId="0" applyFont="1" applyFill="1" applyBorder="1" applyAlignment="1" applyProtection="1">
      <alignment horizontal="center" wrapText="1"/>
    </xf>
    <xf numFmtId="3" fontId="20" fillId="6" borderId="4" xfId="0" applyNumberFormat="1" applyFont="1" applyFill="1" applyBorder="1" applyProtection="1">
      <protection hidden="1"/>
    </xf>
    <xf numFmtId="0" fontId="1" fillId="4" borderId="58" xfId="0" applyFont="1" applyFill="1" applyBorder="1" applyAlignment="1" applyProtection="1">
      <alignment horizontal="center" wrapText="1"/>
    </xf>
    <xf numFmtId="0" fontId="1" fillId="4" borderId="51" xfId="0" applyFont="1" applyFill="1" applyBorder="1" applyAlignment="1" applyProtection="1">
      <alignment horizontal="center" wrapText="1"/>
    </xf>
    <xf numFmtId="0" fontId="1" fillId="6" borderId="58" xfId="0" applyFont="1" applyFill="1" applyBorder="1" applyAlignment="1" applyProtection="1">
      <alignment horizontal="center" wrapText="1"/>
    </xf>
    <xf numFmtId="0" fontId="0" fillId="4" borderId="58" xfId="0" applyFill="1" applyBorder="1" applyAlignment="1" applyProtection="1">
      <alignment horizontal="center" wrapText="1"/>
    </xf>
    <xf numFmtId="0" fontId="1" fillId="4" borderId="9" xfId="0" applyFont="1" applyFill="1" applyBorder="1" applyAlignment="1" applyProtection="1">
      <alignment horizontal="center" wrapText="1"/>
    </xf>
    <xf numFmtId="0" fontId="0" fillId="0" borderId="38" xfId="0" applyBorder="1" applyProtection="1"/>
    <xf numFmtId="0" fontId="0" fillId="0" borderId="46" xfId="0" applyBorder="1" applyProtection="1"/>
    <xf numFmtId="0" fontId="1" fillId="4" borderId="49" xfId="0" applyFont="1" applyFill="1" applyBorder="1" applyAlignment="1" applyProtection="1">
      <alignment horizontal="center" wrapText="1"/>
    </xf>
    <xf numFmtId="0" fontId="1" fillId="4" borderId="1" xfId="0" applyFont="1" applyFill="1" applyBorder="1" applyAlignment="1" applyProtection="1">
      <alignment horizontal="center" wrapText="1"/>
    </xf>
    <xf numFmtId="2" fontId="20" fillId="0" borderId="0" xfId="0" applyNumberFormat="1" applyFont="1" applyBorder="1" applyAlignment="1" applyProtection="1">
      <alignment horizontal="center" vertical="center"/>
    </xf>
    <xf numFmtId="3" fontId="20" fillId="0" borderId="0" xfId="0" applyNumberFormat="1" applyFont="1" applyFill="1" applyBorder="1" applyProtection="1">
      <protection hidden="1"/>
    </xf>
    <xf numFmtId="3" fontId="11" fillId="0" borderId="0" xfId="0" applyNumberFormat="1" applyFont="1" applyFill="1" applyBorder="1" applyProtection="1"/>
    <xf numFmtId="3" fontId="20" fillId="0" borderId="0" xfId="0" applyNumberFormat="1" applyFont="1" applyFill="1" applyBorder="1" applyProtection="1"/>
    <xf numFmtId="3" fontId="20" fillId="0" borderId="4" xfId="0" applyNumberFormat="1" applyFont="1" applyFill="1" applyBorder="1" applyProtection="1">
      <protection hidden="1"/>
    </xf>
    <xf numFmtId="3" fontId="11" fillId="0" borderId="0" xfId="0" applyNumberFormat="1" applyFont="1" applyFill="1" applyBorder="1" applyProtection="1">
      <protection hidden="1"/>
    </xf>
    <xf numFmtId="3" fontId="11" fillId="5" borderId="0" xfId="0" applyNumberFormat="1" applyFont="1" applyFill="1" applyBorder="1" applyProtection="1">
      <protection hidden="1"/>
    </xf>
    <xf numFmtId="0" fontId="1" fillId="4" borderId="25" xfId="0" applyFont="1" applyFill="1" applyBorder="1" applyAlignment="1" applyProtection="1">
      <alignment horizontal="center" wrapText="1"/>
    </xf>
    <xf numFmtId="3" fontId="20" fillId="0" borderId="14" xfId="0" applyNumberFormat="1" applyFont="1" applyFill="1" applyBorder="1" applyProtection="1">
      <protection hidden="1"/>
    </xf>
    <xf numFmtId="3" fontId="20" fillId="0" borderId="15" xfId="0" applyNumberFormat="1" applyFont="1" applyFill="1" applyBorder="1" applyProtection="1">
      <protection hidden="1"/>
    </xf>
    <xf numFmtId="0" fontId="13" fillId="0" borderId="21" xfId="0" applyFont="1" applyBorder="1" applyAlignment="1" applyProtection="1">
      <alignment horizontal="left"/>
    </xf>
    <xf numFmtId="0" fontId="1" fillId="0" borderId="49"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0" fillId="0" borderId="0" xfId="0" applyBorder="1" applyAlignment="1" applyProtection="1">
      <alignment horizontal="left" wrapText="1"/>
    </xf>
    <xf numFmtId="0" fontId="0" fillId="0" borderId="60" xfId="0" applyBorder="1" applyProtection="1"/>
    <xf numFmtId="0" fontId="0" fillId="0" borderId="57" xfId="0" applyBorder="1" applyProtection="1"/>
    <xf numFmtId="0" fontId="11" fillId="0" borderId="21" xfId="0" applyFont="1" applyBorder="1" applyAlignment="1" applyProtection="1">
      <alignment horizontal="right" vertical="center"/>
    </xf>
    <xf numFmtId="0" fontId="11" fillId="0" borderId="0" xfId="0" applyFont="1" applyBorder="1" applyAlignment="1" applyProtection="1">
      <alignment horizontal="right" vertical="center"/>
    </xf>
    <xf numFmtId="0" fontId="11" fillId="0" borderId="0" xfId="0" applyFont="1" applyFill="1" applyBorder="1" applyAlignment="1" applyProtection="1">
      <alignment horizontal="right" vertical="center"/>
    </xf>
    <xf numFmtId="0" fontId="19" fillId="0" borderId="7" xfId="0" applyNumberFormat="1" applyFont="1" applyFill="1" applyBorder="1" applyAlignment="1" applyProtection="1">
      <alignment horizontal="center" vertical="center"/>
    </xf>
    <xf numFmtId="1" fontId="5" fillId="0" borderId="12"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right" vertical="center" wrapText="1"/>
    </xf>
    <xf numFmtId="0" fontId="11" fillId="0" borderId="0" xfId="0"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0" fillId="0" borderId="21" xfId="0" applyBorder="1" applyProtection="1"/>
    <xf numFmtId="3" fontId="20" fillId="0" borderId="60" xfId="0" applyNumberFormat="1" applyFont="1" applyFill="1" applyBorder="1" applyProtection="1">
      <protection hidden="1"/>
    </xf>
    <xf numFmtId="3" fontId="5" fillId="0" borderId="60" xfId="0" applyNumberFormat="1" applyFont="1" applyFill="1" applyBorder="1" applyProtection="1"/>
    <xf numFmtId="0" fontId="0" fillId="0" borderId="7" xfId="0" applyBorder="1" applyProtection="1"/>
    <xf numFmtId="0" fontId="0" fillId="0" borderId="47" xfId="0" applyBorder="1" applyProtection="1"/>
    <xf numFmtId="3" fontId="23" fillId="0" borderId="4" xfId="0" applyNumberFormat="1" applyFont="1" applyBorder="1" applyAlignment="1" applyProtection="1">
      <alignment vertical="center"/>
    </xf>
    <xf numFmtId="2" fontId="20"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right" vertical="center"/>
    </xf>
    <xf numFmtId="0" fontId="11" fillId="0" borderId="7" xfId="0" applyFont="1" applyFill="1" applyBorder="1" applyAlignment="1" applyProtection="1">
      <alignment horizontal="right" vertical="center"/>
    </xf>
    <xf numFmtId="0" fontId="17" fillId="0" borderId="21" xfId="0" applyFont="1" applyBorder="1" applyAlignment="1" applyProtection="1">
      <alignment horizontal="left"/>
    </xf>
    <xf numFmtId="0" fontId="1" fillId="0" borderId="21" xfId="0" applyFont="1" applyFill="1" applyBorder="1" applyAlignment="1" applyProtection="1">
      <alignment horizontal="right" vertical="center"/>
    </xf>
    <xf numFmtId="0" fontId="2" fillId="0" borderId="21" xfId="0" applyFont="1" applyFill="1" applyBorder="1" applyAlignment="1" applyProtection="1">
      <alignment horizontal="center"/>
    </xf>
    <xf numFmtId="3" fontId="0" fillId="0" borderId="0" xfId="0" applyNumberFormat="1" applyFill="1" applyBorder="1" applyAlignment="1" applyProtection="1">
      <alignment horizontal="center" vertical="center" wrapText="1"/>
    </xf>
    <xf numFmtId="3" fontId="0" fillId="0" borderId="21" xfId="0" applyNumberFormat="1" applyFill="1" applyBorder="1" applyProtection="1"/>
    <xf numFmtId="0" fontId="22" fillId="0" borderId="0" xfId="0" applyFont="1" applyBorder="1" applyProtection="1"/>
    <xf numFmtId="1" fontId="20" fillId="0" borderId="0" xfId="0" applyNumberFormat="1" applyFont="1" applyBorder="1" applyAlignment="1" applyProtection="1">
      <alignment horizontal="center" vertical="center"/>
    </xf>
    <xf numFmtId="0" fontId="11" fillId="0" borderId="46" xfId="0" applyFont="1" applyFill="1" applyBorder="1" applyAlignment="1" applyProtection="1">
      <alignment horizontal="right" vertical="center" wrapText="1"/>
    </xf>
    <xf numFmtId="0" fontId="11" fillId="5" borderId="0" xfId="0" applyFont="1" applyFill="1" applyBorder="1" applyAlignment="1" applyProtection="1">
      <alignment horizontal="left" vertical="center" wrapText="1"/>
    </xf>
    <xf numFmtId="0" fontId="21" fillId="0" borderId="21" xfId="0" applyFont="1" applyBorder="1" applyAlignment="1" applyProtection="1">
      <alignment horizontal="left" vertical="center"/>
    </xf>
    <xf numFmtId="0" fontId="21" fillId="0" borderId="7" xfId="0" applyFont="1" applyBorder="1" applyAlignment="1" applyProtection="1">
      <alignment horizontal="left" vertical="center"/>
    </xf>
    <xf numFmtId="0" fontId="1" fillId="0" borderId="39" xfId="0" applyFont="1" applyFill="1" applyBorder="1" applyProtection="1"/>
    <xf numFmtId="0" fontId="11" fillId="0" borderId="25" xfId="0" applyFont="1" applyBorder="1" applyAlignment="1" applyProtection="1">
      <alignment horizontal="center" vertical="center" wrapText="1"/>
    </xf>
    <xf numFmtId="0" fontId="1" fillId="0" borderId="21" xfId="0" applyFont="1" applyFill="1" applyBorder="1" applyProtection="1"/>
    <xf numFmtId="0" fontId="22" fillId="0" borderId="0" xfId="0" applyFont="1" applyBorder="1" applyAlignment="1" applyProtection="1">
      <alignment horizontal="left" wrapText="1"/>
    </xf>
    <xf numFmtId="0" fontId="0" fillId="0" borderId="0" xfId="0" applyBorder="1" applyAlignment="1" applyProtection="1">
      <alignment horizontal="right" vertical="center" wrapText="1"/>
    </xf>
    <xf numFmtId="0" fontId="19" fillId="0" borderId="0" xfId="0" applyFont="1" applyFill="1" applyBorder="1" applyAlignment="1" applyProtection="1">
      <alignment horizontal="center" vertical="center"/>
    </xf>
    <xf numFmtId="0" fontId="20" fillId="0" borderId="0" xfId="0" applyFont="1" applyBorder="1" applyAlignment="1" applyProtection="1">
      <alignment vertical="center"/>
    </xf>
    <xf numFmtId="0" fontId="1" fillId="0" borderId="0" xfId="0" applyFont="1" applyAlignment="1" applyProtection="1">
      <alignment horizontal="right"/>
    </xf>
    <xf numFmtId="0" fontId="1" fillId="0" borderId="0" xfId="0" applyFont="1" applyAlignment="1" applyProtection="1">
      <alignment horizontal="left"/>
    </xf>
    <xf numFmtId="3" fontId="20" fillId="0" borderId="27" xfId="0" applyNumberFormat="1" applyFont="1" applyFill="1" applyBorder="1" applyProtection="1"/>
    <xf numFmtId="0" fontId="5" fillId="0" borderId="0" xfId="0" applyFont="1" applyFill="1" applyBorder="1" applyProtection="1"/>
    <xf numFmtId="1" fontId="5" fillId="0" borderId="0" xfId="0" applyNumberFormat="1" applyFont="1" applyFill="1" applyBorder="1" applyProtection="1"/>
    <xf numFmtId="0" fontId="5" fillId="0" borderId="0" xfId="0" applyFont="1" applyBorder="1" applyProtection="1"/>
    <xf numFmtId="1" fontId="5" fillId="0" borderId="0" xfId="0" applyNumberFormat="1" applyFont="1" applyBorder="1" applyProtection="1"/>
    <xf numFmtId="1" fontId="1" fillId="0" borderId="0" xfId="0" applyNumberFormat="1" applyFont="1" applyFill="1" applyBorder="1" applyProtection="1"/>
    <xf numFmtId="1" fontId="1" fillId="0" borderId="0" xfId="0" applyNumberFormat="1" applyFont="1" applyBorder="1" applyProtection="1"/>
    <xf numFmtId="0" fontId="5" fillId="8" borderId="0" xfId="0" applyFont="1" applyFill="1" applyBorder="1" applyProtection="1"/>
    <xf numFmtId="1" fontId="5" fillId="8" borderId="0" xfId="0" applyNumberFormat="1" applyFont="1" applyFill="1" applyBorder="1" applyProtection="1"/>
    <xf numFmtId="3" fontId="11" fillId="4" borderId="52" xfId="0" applyNumberFormat="1" applyFont="1" applyFill="1" applyBorder="1" applyProtection="1">
      <protection hidden="1"/>
    </xf>
    <xf numFmtId="3" fontId="11" fillId="4" borderId="51" xfId="0" applyNumberFormat="1" applyFont="1" applyFill="1" applyBorder="1" applyAlignment="1" applyProtection="1">
      <alignment horizontal="center"/>
      <protection hidden="1"/>
    </xf>
    <xf numFmtId="3" fontId="20" fillId="4" borderId="36" xfId="0" applyNumberFormat="1" applyFont="1" applyFill="1" applyBorder="1" applyProtection="1">
      <protection hidden="1"/>
    </xf>
    <xf numFmtId="3" fontId="11" fillId="4" borderId="40" xfId="0" applyNumberFormat="1" applyFont="1" applyFill="1" applyBorder="1" applyProtection="1">
      <protection hidden="1"/>
    </xf>
    <xf numFmtId="3" fontId="20" fillId="4" borderId="51" xfId="0" applyNumberFormat="1" applyFont="1" applyFill="1" applyBorder="1" applyAlignment="1" applyProtection="1">
      <alignment horizontal="right"/>
      <protection hidden="1"/>
    </xf>
    <xf numFmtId="3" fontId="20" fillId="0" borderId="51" xfId="0" applyNumberFormat="1" applyFont="1" applyFill="1" applyBorder="1" applyProtection="1">
      <protection hidden="1"/>
    </xf>
    <xf numFmtId="3" fontId="11" fillId="0" borderId="3" xfId="0" applyNumberFormat="1" applyFont="1" applyFill="1" applyBorder="1" applyProtection="1">
      <protection hidden="1"/>
    </xf>
    <xf numFmtId="3" fontId="20" fillId="0" borderId="3" xfId="0" applyNumberFormat="1" applyFont="1" applyFill="1" applyBorder="1" applyAlignment="1" applyProtection="1">
      <alignment horizontal="right"/>
      <protection hidden="1"/>
    </xf>
    <xf numFmtId="3" fontId="20" fillId="9" borderId="4" xfId="0" applyNumberFormat="1" applyFont="1" applyFill="1" applyBorder="1" applyProtection="1">
      <protection hidden="1"/>
    </xf>
    <xf numFmtId="3" fontId="20" fillId="9" borderId="55" xfId="0" applyNumberFormat="1" applyFont="1" applyFill="1" applyBorder="1" applyProtection="1">
      <protection hidden="1"/>
    </xf>
    <xf numFmtId="3" fontId="20" fillId="9" borderId="48" xfId="0" applyNumberFormat="1" applyFont="1" applyFill="1" applyBorder="1" applyProtection="1"/>
    <xf numFmtId="3" fontId="20" fillId="9" borderId="3" xfId="0" applyNumberFormat="1" applyFont="1" applyFill="1" applyBorder="1" applyProtection="1">
      <protection hidden="1"/>
    </xf>
    <xf numFmtId="3" fontId="20" fillId="5" borderId="58" xfId="0" applyNumberFormat="1" applyFont="1" applyFill="1" applyBorder="1" applyProtection="1">
      <protection hidden="1"/>
    </xf>
    <xf numFmtId="3" fontId="20" fillId="0" borderId="58" xfId="0" applyNumberFormat="1" applyFont="1" applyFill="1" applyBorder="1" applyProtection="1">
      <protection hidden="1"/>
    </xf>
    <xf numFmtId="3" fontId="20" fillId="4" borderId="51" xfId="0" applyNumberFormat="1" applyFont="1" applyFill="1" applyBorder="1" applyProtection="1">
      <protection hidden="1"/>
    </xf>
    <xf numFmtId="3" fontId="20" fillId="0" borderId="6" xfId="0" applyNumberFormat="1" applyFont="1" applyFill="1" applyBorder="1" applyProtection="1"/>
    <xf numFmtId="3" fontId="20" fillId="0" borderId="11" xfId="0" applyNumberFormat="1" applyFont="1" applyFill="1" applyBorder="1" applyProtection="1">
      <protection hidden="1"/>
    </xf>
    <xf numFmtId="3" fontId="20" fillId="0" borderId="16" xfId="0" applyNumberFormat="1" applyFont="1" applyFill="1" applyBorder="1" applyProtection="1">
      <protection hidden="1"/>
    </xf>
    <xf numFmtId="3" fontId="20" fillId="4" borderId="27" xfId="0" applyNumberFormat="1" applyFont="1" applyFill="1" applyBorder="1" applyProtection="1"/>
    <xf numFmtId="3" fontId="20" fillId="4" borderId="5" xfId="0" applyNumberFormat="1" applyFont="1" applyFill="1" applyBorder="1" applyAlignment="1" applyProtection="1">
      <alignment horizontal="right"/>
      <protection hidden="1"/>
    </xf>
    <xf numFmtId="3" fontId="11" fillId="4" borderId="5" xfId="0" applyNumberFormat="1" applyFont="1" applyFill="1" applyBorder="1" applyAlignment="1" applyProtection="1">
      <alignment horizontal="center"/>
      <protection hidden="1"/>
    </xf>
    <xf numFmtId="3" fontId="11" fillId="4" borderId="7" xfId="0" applyNumberFormat="1" applyFont="1" applyFill="1" applyBorder="1" applyAlignment="1" applyProtection="1">
      <alignment horizontal="right"/>
    </xf>
    <xf numFmtId="0" fontId="1" fillId="0" borderId="0" xfId="0" applyFont="1" applyAlignment="1" applyProtection="1">
      <alignment vertical="top"/>
    </xf>
    <xf numFmtId="0" fontId="11" fillId="0" borderId="0" xfId="0" applyFont="1" applyFill="1" applyBorder="1" applyAlignment="1" applyProtection="1">
      <alignment horizontal="right" vertical="center" wrapText="1"/>
    </xf>
    <xf numFmtId="0" fontId="15" fillId="0" borderId="0" xfId="1" applyBorder="1" applyAlignment="1" applyProtection="1">
      <alignment horizontal="left" vertical="top"/>
    </xf>
    <xf numFmtId="0" fontId="6" fillId="0" borderId="0" xfId="0" applyFont="1" applyBorder="1" applyAlignment="1" applyProtection="1">
      <alignment horizontal="left" wrapText="1"/>
    </xf>
    <xf numFmtId="0" fontId="10" fillId="0" borderId="0" xfId="0" applyNumberFormat="1" applyFont="1" applyFill="1" applyBorder="1" applyAlignment="1" applyProtection="1">
      <alignment horizontal="left" vertical="center"/>
    </xf>
    <xf numFmtId="0" fontId="1" fillId="0" borderId="38" xfId="0" applyFont="1" applyBorder="1" applyAlignment="1" applyProtection="1">
      <alignment horizontal="left"/>
    </xf>
    <xf numFmtId="0" fontId="1" fillId="0" borderId="21" xfId="0" applyFont="1" applyBorder="1" applyAlignment="1" applyProtection="1">
      <alignment horizontal="left"/>
    </xf>
    <xf numFmtId="1" fontId="20" fillId="0" borderId="39" xfId="0" applyNumberFormat="1" applyFont="1" applyBorder="1" applyAlignment="1" applyProtection="1">
      <alignment horizontal="center" vertical="center"/>
    </xf>
    <xf numFmtId="0" fontId="11" fillId="0" borderId="60" xfId="0" applyFont="1" applyBorder="1" applyAlignment="1" applyProtection="1">
      <alignment horizontal="right" vertical="center" wrapText="1"/>
    </xf>
    <xf numFmtId="1" fontId="20" fillId="0" borderId="57" xfId="0" applyNumberFormat="1" applyFont="1" applyBorder="1" applyAlignment="1" applyProtection="1">
      <alignment horizontal="center" vertical="center"/>
    </xf>
    <xf numFmtId="0" fontId="11" fillId="0" borderId="7" xfId="0" applyFont="1" applyBorder="1" applyAlignment="1" applyProtection="1">
      <alignment horizontal="right" vertical="center" wrapText="1"/>
    </xf>
    <xf numFmtId="1" fontId="20" fillId="0" borderId="47" xfId="0" applyNumberFormat="1" applyFont="1" applyBorder="1" applyAlignment="1" applyProtection="1">
      <alignment horizontal="center" vertical="center"/>
    </xf>
    <xf numFmtId="0" fontId="0" fillId="0" borderId="21" xfId="0" applyBorder="1" applyAlignment="1" applyProtection="1">
      <alignment horizontal="right" vertical="center" wrapText="1"/>
    </xf>
    <xf numFmtId="0" fontId="0" fillId="0" borderId="39" xfId="0" applyBorder="1" applyProtection="1"/>
    <xf numFmtId="0" fontId="11" fillId="0" borderId="60" xfId="0" applyFont="1" applyBorder="1" applyAlignment="1" applyProtection="1">
      <alignment horizontal="left"/>
    </xf>
    <xf numFmtId="0" fontId="13" fillId="0" borderId="46" xfId="0" applyFont="1" applyBorder="1" applyAlignment="1" applyProtection="1">
      <alignment horizontal="left"/>
    </xf>
    <xf numFmtId="0" fontId="13" fillId="0" borderId="7" xfId="0" applyFont="1" applyBorder="1" applyAlignment="1" applyProtection="1">
      <alignment horizontal="left"/>
    </xf>
    <xf numFmtId="0" fontId="0" fillId="0" borderId="3" xfId="0" applyBorder="1" applyProtection="1"/>
    <xf numFmtId="0" fontId="1" fillId="0" borderId="62" xfId="0" applyNumberFormat="1" applyFont="1" applyFill="1" applyBorder="1" applyAlignment="1" applyProtection="1">
      <alignment horizontal="right" vertical="center" wrapText="1"/>
    </xf>
    <xf numFmtId="0" fontId="5" fillId="0" borderId="9" xfId="0" applyFont="1" applyBorder="1" applyAlignment="1" applyProtection="1">
      <alignment horizontal="center" vertical="center"/>
    </xf>
    <xf numFmtId="0" fontId="1" fillId="0" borderId="63" xfId="0" applyNumberFormat="1" applyFont="1" applyFill="1" applyBorder="1" applyAlignment="1" applyProtection="1">
      <alignment horizontal="right" vertical="center" wrapText="1"/>
    </xf>
    <xf numFmtId="0" fontId="5" fillId="0" borderId="64" xfId="0" applyFont="1" applyBorder="1" applyAlignment="1" applyProtection="1">
      <alignment horizontal="center" vertical="center"/>
    </xf>
    <xf numFmtId="1" fontId="5" fillId="0" borderId="65" xfId="0" applyNumberFormat="1" applyFont="1" applyFill="1" applyBorder="1" applyAlignment="1" applyProtection="1">
      <alignment horizontal="center" vertical="center"/>
    </xf>
    <xf numFmtId="1" fontId="5" fillId="10" borderId="17"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right" vertical="center" wrapText="1"/>
    </xf>
    <xf numFmtId="0" fontId="5" fillId="0" borderId="5" xfId="0" applyFont="1" applyBorder="1" applyAlignment="1" applyProtection="1">
      <alignment horizontal="center" vertical="center"/>
    </xf>
    <xf numFmtId="1" fontId="5" fillId="10" borderId="16" xfId="0" applyNumberFormat="1" applyFont="1" applyFill="1" applyBorder="1" applyAlignment="1" applyProtection="1">
      <alignment horizontal="center" vertical="center"/>
    </xf>
    <xf numFmtId="0" fontId="11" fillId="0" borderId="3" xfId="0" applyFont="1" applyBorder="1" applyProtection="1"/>
    <xf numFmtId="1" fontId="20" fillId="7" borderId="18" xfId="0" applyNumberFormat="1" applyFont="1" applyFill="1" applyBorder="1" applyAlignment="1" applyProtection="1">
      <alignment horizontal="center" vertical="center"/>
    </xf>
    <xf numFmtId="0" fontId="20" fillId="7" borderId="43" xfId="0"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18" fillId="0" borderId="0" xfId="0" applyFont="1" applyFill="1" applyBorder="1" applyAlignment="1" applyProtection="1">
      <alignment horizontal="left" vertical="top" wrapText="1"/>
    </xf>
    <xf numFmtId="0" fontId="0" fillId="3" borderId="20" xfId="0" applyFill="1" applyBorder="1" applyAlignment="1" applyProtection="1"/>
    <xf numFmtId="0" fontId="1" fillId="4" borderId="44" xfId="0" applyFont="1" applyFill="1" applyBorder="1" applyAlignment="1" applyProtection="1">
      <alignment horizontal="left" vertical="center"/>
    </xf>
    <xf numFmtId="0" fontId="12" fillId="0" borderId="0" xfId="0" applyFont="1" applyBorder="1" applyAlignment="1" applyProtection="1">
      <alignment horizontal="left" vertical="center"/>
    </xf>
    <xf numFmtId="1" fontId="11" fillId="0" borderId="7" xfId="0" applyNumberFormat="1" applyFont="1" applyBorder="1" applyAlignment="1" applyProtection="1">
      <alignment horizontal="right" vertical="center" wrapText="1"/>
    </xf>
    <xf numFmtId="1" fontId="13" fillId="0" borderId="0" xfId="0" applyNumberFormat="1" applyFont="1" applyBorder="1" applyAlignment="1" applyProtection="1">
      <alignment horizontal="left"/>
    </xf>
    <xf numFmtId="0" fontId="12" fillId="0" borderId="0" xfId="0" applyNumberFormat="1" applyFont="1" applyFill="1" applyBorder="1" applyAlignment="1" applyProtection="1">
      <alignment horizontal="right" vertical="center" wrapText="1"/>
    </xf>
    <xf numFmtId="0" fontId="12" fillId="0" borderId="0" xfId="0" applyFont="1" applyFill="1" applyBorder="1" applyAlignment="1" applyProtection="1">
      <alignment vertical="center" wrapText="1"/>
    </xf>
    <xf numFmtId="0" fontId="7"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left" vertical="center"/>
    </xf>
    <xf numFmtId="0" fontId="18" fillId="5" borderId="0" xfId="0" applyFont="1" applyFill="1" applyBorder="1" applyAlignment="1" applyProtection="1">
      <alignment horizontal="left" vertical="top" wrapText="1"/>
    </xf>
    <xf numFmtId="0" fontId="10" fillId="5" borderId="0" xfId="0" applyNumberFormat="1" applyFont="1" applyFill="1" applyBorder="1" applyAlignment="1" applyProtection="1">
      <alignment horizontal="center" vertical="center"/>
    </xf>
    <xf numFmtId="0" fontId="18" fillId="10" borderId="20" xfId="0" applyFont="1" applyFill="1" applyBorder="1" applyAlignment="1" applyProtection="1">
      <alignment horizontal="left" vertical="top" wrapText="1"/>
    </xf>
    <xf numFmtId="0" fontId="10" fillId="10" borderId="67" xfId="0" applyNumberFormat="1" applyFont="1" applyFill="1" applyBorder="1" applyAlignment="1" applyProtection="1">
      <alignment horizontal="center" vertical="center"/>
    </xf>
    <xf numFmtId="166" fontId="0" fillId="0" borderId="0" xfId="0" applyNumberFormat="1" applyProtection="1"/>
    <xf numFmtId="0" fontId="11" fillId="0" borderId="0" xfId="0" applyFont="1" applyFill="1" applyBorder="1" applyAlignment="1" applyProtection="1">
      <alignment horizontal="center" vertical="center" wrapText="1"/>
    </xf>
    <xf numFmtId="0" fontId="39" fillId="7" borderId="1" xfId="0" applyFont="1" applyFill="1" applyBorder="1" applyAlignment="1" applyProtection="1">
      <alignment horizontal="left" vertical="center"/>
      <protection locked="0"/>
    </xf>
    <xf numFmtId="0" fontId="39" fillId="7" borderId="36" xfId="0" applyNumberFormat="1" applyFont="1" applyFill="1" applyBorder="1" applyAlignment="1" applyProtection="1">
      <alignment horizontal="left" vertical="center"/>
      <protection locked="0"/>
    </xf>
    <xf numFmtId="0" fontId="0" fillId="0" borderId="36" xfId="0" applyBorder="1" applyProtection="1"/>
    <xf numFmtId="0" fontId="0" fillId="0" borderId="51" xfId="0" applyBorder="1" applyProtection="1"/>
    <xf numFmtId="0" fontId="0" fillId="0" borderId="9" xfId="0" applyFill="1" applyBorder="1" applyProtection="1"/>
    <xf numFmtId="0" fontId="1" fillId="0" borderId="53" xfId="0" applyFont="1" applyBorder="1" applyProtection="1"/>
    <xf numFmtId="0" fontId="0" fillId="0" borderId="52" xfId="0" applyBorder="1" applyProtection="1"/>
    <xf numFmtId="0" fontId="0" fillId="0" borderId="54" xfId="0" applyBorder="1" applyProtection="1"/>
    <xf numFmtId="0" fontId="1" fillId="0" borderId="58" xfId="0" applyFont="1" applyBorder="1" applyProtection="1"/>
    <xf numFmtId="0" fontId="0" fillId="0" borderId="59" xfId="0" applyBorder="1" applyProtection="1"/>
    <xf numFmtId="0" fontId="1" fillId="0" borderId="55" xfId="0" applyFont="1" applyBorder="1" applyProtection="1"/>
    <xf numFmtId="0" fontId="0" fillId="0" borderId="40" xfId="0" applyBorder="1" applyProtection="1"/>
    <xf numFmtId="0" fontId="0" fillId="0" borderId="69" xfId="0" applyBorder="1" applyProtection="1"/>
    <xf numFmtId="0" fontId="0" fillId="4" borderId="55" xfId="0" applyFill="1" applyBorder="1" applyProtection="1"/>
    <xf numFmtId="0" fontId="1" fillId="0" borderId="3" xfId="0" applyFont="1" applyBorder="1" applyAlignment="1" applyProtection="1">
      <alignment horizontal="center"/>
    </xf>
    <xf numFmtId="16" fontId="1" fillId="0" borderId="3" xfId="0" applyNumberFormat="1" applyFont="1" applyBorder="1" applyAlignment="1" applyProtection="1">
      <alignment horizontal="center"/>
    </xf>
    <xf numFmtId="0" fontId="0" fillId="0" borderId="3" xfId="0" applyFont="1" applyBorder="1" applyAlignment="1" applyProtection="1">
      <alignment horizontal="center"/>
    </xf>
    <xf numFmtId="2" fontId="20" fillId="0" borderId="3" xfId="0" applyNumberFormat="1" applyFont="1" applyBorder="1" applyAlignment="1" applyProtection="1">
      <alignment horizontal="center"/>
    </xf>
    <xf numFmtId="0" fontId="1" fillId="0" borderId="0" xfId="0" applyFont="1" applyAlignment="1" applyProtection="1">
      <alignment horizontal="center"/>
    </xf>
    <xf numFmtId="0" fontId="1" fillId="4" borderId="18" xfId="0" applyFont="1" applyFill="1" applyBorder="1" applyAlignment="1" applyProtection="1">
      <alignment horizontal="center" wrapText="1"/>
    </xf>
    <xf numFmtId="0" fontId="1" fillId="4" borderId="19" xfId="0" applyFont="1" applyFill="1" applyBorder="1" applyAlignment="1" applyProtection="1">
      <alignment horizontal="center" wrapText="1"/>
    </xf>
    <xf numFmtId="0" fontId="11" fillId="12" borderId="26" xfId="0" applyFont="1" applyFill="1" applyBorder="1" applyAlignment="1" applyProtection="1">
      <alignment horizontal="center" vertical="center" wrapText="1"/>
    </xf>
    <xf numFmtId="0" fontId="11" fillId="12" borderId="27" xfId="0" applyFont="1" applyFill="1" applyBorder="1" applyAlignment="1" applyProtection="1">
      <alignment horizontal="center" vertical="center" wrapText="1"/>
    </xf>
    <xf numFmtId="0" fontId="11" fillId="12" borderId="28" xfId="0" applyFont="1" applyFill="1" applyBorder="1" applyAlignment="1" applyProtection="1">
      <alignment horizontal="center" vertical="center" wrapText="1"/>
    </xf>
    <xf numFmtId="0" fontId="29" fillId="12" borderId="11" xfId="0" applyFont="1" applyFill="1" applyBorder="1" applyAlignment="1" applyProtection="1">
      <alignment horizontal="left" vertical="center"/>
    </xf>
    <xf numFmtId="0" fontId="12" fillId="12" borderId="43" xfId="0" applyFont="1" applyFill="1" applyBorder="1" applyAlignment="1" applyProtection="1">
      <alignment horizontal="left" vertical="center" wrapText="1"/>
    </xf>
    <xf numFmtId="0" fontId="12" fillId="12" borderId="10" xfId="0" applyFont="1" applyFill="1" applyBorder="1" applyAlignment="1" applyProtection="1">
      <alignment horizontal="left" vertical="center" wrapText="1"/>
    </xf>
    <xf numFmtId="0" fontId="12" fillId="12" borderId="10" xfId="0" applyFont="1" applyFill="1" applyBorder="1" applyAlignment="1" applyProtection="1">
      <alignment horizontal="center" wrapText="1"/>
    </xf>
    <xf numFmtId="0" fontId="12" fillId="12" borderId="19" xfId="0" applyFont="1" applyFill="1" applyBorder="1" applyAlignment="1" applyProtection="1">
      <alignment horizontal="center" wrapText="1"/>
    </xf>
    <xf numFmtId="0" fontId="12" fillId="12" borderId="26" xfId="0" applyFont="1" applyFill="1" applyBorder="1" applyAlignment="1" applyProtection="1">
      <alignment horizontal="center" vertical="center" wrapText="1"/>
    </xf>
    <xf numFmtId="0" fontId="12" fillId="12" borderId="27" xfId="0" applyFont="1" applyFill="1" applyBorder="1" applyAlignment="1" applyProtection="1">
      <alignment horizontal="center" vertical="center" wrapText="1"/>
    </xf>
    <xf numFmtId="0" fontId="12" fillId="12" borderId="28" xfId="0" applyFont="1" applyFill="1" applyBorder="1" applyAlignment="1" applyProtection="1">
      <alignment horizontal="center" vertical="center" wrapText="1"/>
    </xf>
    <xf numFmtId="0" fontId="1" fillId="0" borderId="3" xfId="0" applyFont="1" applyFill="1" applyBorder="1" applyProtection="1"/>
    <xf numFmtId="0" fontId="1" fillId="0" borderId="59" xfId="0" applyFont="1" applyBorder="1" applyProtection="1"/>
    <xf numFmtId="0" fontId="1" fillId="0" borderId="59" xfId="0" applyFont="1" applyFill="1" applyBorder="1" applyProtection="1"/>
    <xf numFmtId="0" fontId="0" fillId="0" borderId="69" xfId="0" applyFont="1" applyFill="1" applyBorder="1" applyProtection="1"/>
    <xf numFmtId="0" fontId="0" fillId="0" borderId="3" xfId="0" applyBorder="1" applyAlignment="1" applyProtection="1">
      <alignment horizontal="left" vertical="center" wrapText="1"/>
    </xf>
    <xf numFmtId="0" fontId="1" fillId="0" borderId="9" xfId="0" applyFont="1" applyBorder="1" applyProtection="1"/>
    <xf numFmtId="0" fontId="1" fillId="0" borderId="4" xfId="0" applyFont="1" applyBorder="1" applyProtection="1"/>
    <xf numFmtId="0" fontId="0" fillId="0" borderId="32" xfId="0" applyBorder="1" applyProtection="1"/>
    <xf numFmtId="0" fontId="11" fillId="0" borderId="35" xfId="0" applyFont="1" applyFill="1" applyBorder="1" applyAlignment="1" applyProtection="1">
      <alignment horizontal="right" vertical="center" wrapText="1"/>
    </xf>
    <xf numFmtId="0" fontId="0" fillId="10" borderId="0" xfId="0" applyFill="1" applyProtection="1"/>
    <xf numFmtId="0" fontId="1" fillId="0" borderId="53" xfId="0" applyFont="1" applyBorder="1" applyAlignment="1" applyProtection="1">
      <alignment horizontal="center"/>
    </xf>
    <xf numFmtId="0" fontId="1" fillId="0" borderId="58" xfId="0" applyFont="1" applyBorder="1" applyAlignment="1" applyProtection="1">
      <alignment horizontal="center"/>
    </xf>
    <xf numFmtId="0" fontId="0" fillId="0" borderId="58" xfId="0" applyBorder="1" applyAlignment="1" applyProtection="1">
      <alignment horizontal="center"/>
    </xf>
    <xf numFmtId="0" fontId="1" fillId="0" borderId="55" xfId="0" applyFont="1" applyFill="1" applyBorder="1" applyAlignment="1" applyProtection="1">
      <alignment horizontal="center"/>
    </xf>
    <xf numFmtId="0" fontId="18" fillId="12" borderId="44" xfId="0" applyFont="1" applyFill="1" applyBorder="1" applyAlignment="1" applyProtection="1">
      <alignment horizontal="left" vertical="top" wrapText="1"/>
    </xf>
    <xf numFmtId="0" fontId="18" fillId="12" borderId="45" xfId="0" applyFont="1" applyFill="1" applyBorder="1" applyAlignment="1" applyProtection="1">
      <alignment horizontal="left" vertical="top" wrapText="1"/>
    </xf>
    <xf numFmtId="0" fontId="11" fillId="12" borderId="8" xfId="0" applyFont="1" applyFill="1" applyBorder="1" applyAlignment="1" applyProtection="1">
      <alignment horizontal="center" vertical="center" wrapText="1"/>
    </xf>
    <xf numFmtId="0" fontId="12" fillId="12" borderId="42" xfId="0" applyNumberFormat="1" applyFont="1" applyFill="1" applyBorder="1" applyAlignment="1" applyProtection="1">
      <alignment horizontal="left" vertical="center"/>
    </xf>
    <xf numFmtId="0" fontId="0" fillId="0" borderId="57" xfId="0" applyBorder="1" applyAlignment="1" applyProtection="1">
      <alignment horizontal="right"/>
    </xf>
    <xf numFmtId="0" fontId="0" fillId="0" borderId="47" xfId="0" applyBorder="1" applyAlignment="1" applyProtection="1">
      <alignment horizontal="right"/>
    </xf>
    <xf numFmtId="0" fontId="0" fillId="4" borderId="0" xfId="0" applyFill="1" applyBorder="1" applyAlignment="1" applyProtection="1">
      <alignment horizontal="center" vertical="center" wrapText="1"/>
    </xf>
    <xf numFmtId="0" fontId="1" fillId="4" borderId="0" xfId="0" applyFont="1" applyFill="1" applyBorder="1" applyAlignment="1" applyProtection="1">
      <alignment horizontal="center" wrapText="1"/>
    </xf>
    <xf numFmtId="0" fontId="0" fillId="0" borderId="57" xfId="0" applyBorder="1" applyAlignment="1" applyProtection="1"/>
    <xf numFmtId="0" fontId="34" fillId="0" borderId="0" xfId="0" applyFont="1" applyFill="1" applyBorder="1" applyAlignment="1" applyProtection="1">
      <alignment horizontal="left" vertical="top" wrapText="1"/>
    </xf>
    <xf numFmtId="0" fontId="35" fillId="5" borderId="0" xfId="0" applyNumberFormat="1" applyFont="1" applyFill="1" applyBorder="1" applyAlignment="1" applyProtection="1">
      <alignment horizontal="center" vertical="center"/>
    </xf>
    <xf numFmtId="0" fontId="37" fillId="5" borderId="0" xfId="0" applyFont="1" applyFill="1" applyBorder="1" applyAlignment="1" applyProtection="1">
      <alignment horizontal="left" vertical="center"/>
    </xf>
    <xf numFmtId="165" fontId="39" fillId="0" borderId="0" xfId="0" applyNumberFormat="1"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0" fillId="0" borderId="0" xfId="0" applyBorder="1" applyAlignment="1" applyProtection="1">
      <alignment horizontal="center" vertical="center"/>
    </xf>
    <xf numFmtId="0" fontId="1" fillId="0" borderId="0"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0" fillId="0" borderId="0" xfId="0" applyBorder="1" applyAlignment="1" applyProtection="1"/>
    <xf numFmtId="0" fontId="0" fillId="0" borderId="0" xfId="0" applyAlignment="1" applyProtection="1">
      <alignment horizontal="center"/>
    </xf>
    <xf numFmtId="0" fontId="0" fillId="0" borderId="0" xfId="0" applyFill="1" applyBorder="1" applyAlignment="1" applyProtection="1">
      <alignment horizontal="center" vertical="center" wrapText="1"/>
    </xf>
    <xf numFmtId="3" fontId="12" fillId="12" borderId="31" xfId="0" applyNumberFormat="1" applyFont="1" applyFill="1" applyBorder="1" applyAlignment="1" applyProtection="1">
      <alignment horizontal="center" vertical="center" wrapText="1"/>
      <protection hidden="1"/>
    </xf>
    <xf numFmtId="0" fontId="11" fillId="12" borderId="57" xfId="0" applyFont="1" applyFill="1" applyBorder="1" applyAlignment="1" applyProtection="1">
      <alignment horizontal="center" vertical="center" wrapText="1"/>
    </xf>
    <xf numFmtId="0" fontId="11" fillId="12" borderId="60" xfId="0"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xf>
    <xf numFmtId="0" fontId="12" fillId="12" borderId="43" xfId="0" applyFont="1" applyFill="1" applyBorder="1" applyAlignment="1" applyProtection="1">
      <alignment horizontal="center" wrapText="1"/>
    </xf>
    <xf numFmtId="0" fontId="0" fillId="4" borderId="58" xfId="0" applyFill="1" applyBorder="1" applyProtection="1"/>
    <xf numFmtId="1" fontId="20" fillId="0" borderId="4" xfId="0" applyNumberFormat="1" applyFont="1" applyBorder="1" applyAlignment="1" applyProtection="1">
      <alignment horizontal="center" vertical="center"/>
    </xf>
    <xf numFmtId="1" fontId="20" fillId="0" borderId="4" xfId="0" applyNumberFormat="1" applyFont="1" applyFill="1" applyBorder="1" applyAlignment="1" applyProtection="1">
      <alignment horizontal="center" vertical="center"/>
    </xf>
    <xf numFmtId="0" fontId="1" fillId="4" borderId="59" xfId="0" applyFont="1" applyFill="1" applyBorder="1" applyAlignment="1" applyProtection="1">
      <alignment horizontal="center" wrapText="1"/>
    </xf>
    <xf numFmtId="3" fontId="20" fillId="4" borderId="27" xfId="0" applyNumberFormat="1" applyFont="1" applyFill="1" applyBorder="1" applyAlignment="1" applyProtection="1">
      <alignment horizontal="right"/>
      <protection hidden="1"/>
    </xf>
    <xf numFmtId="0" fontId="0" fillId="0" borderId="0" xfId="0" applyAlignment="1"/>
    <xf numFmtId="0" fontId="0" fillId="3" borderId="0" xfId="0" applyFill="1" applyBorder="1" applyAlignment="1" applyProtection="1"/>
    <xf numFmtId="0" fontId="0" fillId="11" borderId="0" xfId="0" applyFill="1" applyBorder="1" applyAlignment="1" applyProtection="1">
      <alignment horizontal="center" vertical="center" wrapText="1"/>
    </xf>
    <xf numFmtId="0" fontId="0" fillId="4" borderId="38" xfId="0" applyFill="1" applyBorder="1" applyAlignment="1" applyProtection="1">
      <alignment horizontal="center" vertical="center" wrapText="1"/>
    </xf>
    <xf numFmtId="0" fontId="1" fillId="4" borderId="0" xfId="0" applyFont="1" applyFill="1" applyBorder="1" applyAlignment="1" applyProtection="1">
      <alignment horizontal="left" vertical="center"/>
    </xf>
    <xf numFmtId="0" fontId="0" fillId="4" borderId="21" xfId="0" applyFill="1" applyBorder="1" applyAlignment="1" applyProtection="1">
      <alignment horizontal="center" vertical="center" wrapText="1"/>
    </xf>
    <xf numFmtId="0" fontId="1" fillId="11" borderId="38" xfId="0" applyFont="1" applyFill="1" applyBorder="1" applyAlignment="1" applyProtection="1">
      <alignment horizontal="center" vertical="center" wrapText="1"/>
    </xf>
    <xf numFmtId="0" fontId="0" fillId="11" borderId="21" xfId="0"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0" fillId="4" borderId="39" xfId="0" applyFill="1" applyBorder="1" applyAlignment="1" applyProtection="1">
      <alignment horizontal="center" vertical="center" wrapText="1"/>
    </xf>
    <xf numFmtId="0" fontId="11" fillId="0" borderId="24" xfId="0" applyFont="1" applyBorder="1" applyAlignment="1" applyProtection="1">
      <alignment horizontal="center" vertical="center" wrapText="1"/>
    </xf>
    <xf numFmtId="3" fontId="0" fillId="0" borderId="21" xfId="0" applyNumberFormat="1" applyBorder="1" applyProtection="1"/>
    <xf numFmtId="9" fontId="0" fillId="0" borderId="21" xfId="0" applyNumberFormat="1" applyFill="1" applyBorder="1" applyAlignment="1" applyProtection="1">
      <alignment horizontal="center"/>
    </xf>
    <xf numFmtId="164" fontId="5" fillId="0" borderId="21" xfId="0" applyNumberFormat="1" applyFont="1" applyBorder="1" applyAlignment="1" applyProtection="1">
      <alignment horizontal="center" vertical="center"/>
    </xf>
    <xf numFmtId="3" fontId="6" fillId="0" borderId="21" xfId="0" applyNumberFormat="1" applyFont="1" applyFill="1" applyBorder="1" applyAlignment="1" applyProtection="1">
      <alignment horizontal="left" vertical="center"/>
    </xf>
    <xf numFmtId="3" fontId="5" fillId="0" borderId="21" xfId="0" applyNumberFormat="1" applyFont="1" applyBorder="1" applyAlignment="1" applyProtection="1">
      <alignment horizontal="right" vertical="center"/>
    </xf>
    <xf numFmtId="49" fontId="4" fillId="0" borderId="21" xfId="0" applyNumberFormat="1" applyFont="1" applyFill="1" applyBorder="1" applyAlignment="1" applyProtection="1">
      <alignment horizontal="center"/>
    </xf>
    <xf numFmtId="0" fontId="0" fillId="0" borderId="21" xfId="0" applyFill="1" applyBorder="1" applyAlignment="1" applyProtection="1">
      <alignment horizontal="center"/>
    </xf>
    <xf numFmtId="0" fontId="22" fillId="0" borderId="21" xfId="0" applyFont="1" applyBorder="1" applyProtection="1"/>
    <xf numFmtId="0" fontId="23" fillId="0" borderId="0" xfId="0" applyFont="1" applyBorder="1" applyProtection="1"/>
    <xf numFmtId="0" fontId="1" fillId="0" borderId="0" xfId="0" applyFont="1" applyFill="1" applyBorder="1" applyAlignment="1" applyProtection="1">
      <alignment horizontal="center" vertical="center" wrapText="1"/>
    </xf>
    <xf numFmtId="165" fontId="0" fillId="0" borderId="0" xfId="0" applyNumberFormat="1" applyProtection="1"/>
    <xf numFmtId="167" fontId="0" fillId="0" borderId="0" xfId="0" applyNumberFormat="1" applyProtection="1"/>
    <xf numFmtId="0" fontId="0" fillId="0" borderId="0" xfId="0" applyAlignment="1" applyProtection="1">
      <alignment horizontal="right"/>
    </xf>
    <xf numFmtId="0" fontId="0" fillId="0" borderId="58" xfId="0" applyBorder="1" applyProtection="1"/>
    <xf numFmtId="0" fontId="0" fillId="4" borderId="0" xfId="0" applyFill="1" applyBorder="1" applyProtection="1"/>
    <xf numFmtId="0" fontId="11" fillId="0" borderId="0" xfId="0" applyFont="1" applyFill="1" applyBorder="1" applyProtection="1"/>
    <xf numFmtId="3" fontId="5" fillId="0" borderId="0" xfId="0" applyNumberFormat="1" applyFont="1" applyFill="1" applyBorder="1" applyProtection="1"/>
    <xf numFmtId="3" fontId="1" fillId="0" borderId="0" xfId="0" applyNumberFormat="1" applyFont="1" applyFill="1" applyBorder="1" applyProtection="1"/>
    <xf numFmtId="3" fontId="5" fillId="8" borderId="0" xfId="0" applyNumberFormat="1" applyFont="1" applyFill="1" applyBorder="1" applyProtection="1"/>
    <xf numFmtId="0" fontId="41" fillId="0" borderId="0" xfId="0" applyFont="1" applyBorder="1" applyProtection="1"/>
    <xf numFmtId="0" fontId="10" fillId="0" borderId="58" xfId="0" applyNumberFormat="1" applyFont="1" applyFill="1" applyBorder="1" applyAlignment="1" applyProtection="1">
      <alignment horizontal="center" vertical="center"/>
    </xf>
    <xf numFmtId="0" fontId="22" fillId="0" borderId="58" xfId="0" applyFont="1" applyBorder="1" applyAlignment="1" applyProtection="1">
      <alignment horizontal="left" wrapText="1"/>
    </xf>
    <xf numFmtId="0" fontId="13" fillId="0" borderId="58" xfId="0" applyFont="1" applyBorder="1" applyAlignment="1" applyProtection="1">
      <alignment horizontal="center"/>
    </xf>
    <xf numFmtId="3" fontId="0" fillId="0" borderId="58" xfId="0" applyNumberFormat="1" applyFill="1" applyBorder="1" applyProtection="1"/>
    <xf numFmtId="0" fontId="0" fillId="0" borderId="58" xfId="0" applyFill="1" applyBorder="1" applyProtection="1"/>
    <xf numFmtId="0" fontId="8" fillId="0" borderId="58" xfId="0" applyFont="1" applyFill="1" applyBorder="1" applyAlignment="1" applyProtection="1">
      <alignment horizontal="center" vertical="center" textRotation="90" wrapText="1"/>
    </xf>
    <xf numFmtId="0" fontId="0" fillId="0" borderId="21" xfId="0" applyFill="1" applyBorder="1" applyAlignment="1" applyProtection="1">
      <alignment horizontal="center" vertical="center" wrapText="1"/>
    </xf>
    <xf numFmtId="0" fontId="0" fillId="0" borderId="57" xfId="0" applyFill="1" applyBorder="1" applyProtection="1"/>
    <xf numFmtId="0" fontId="8" fillId="0" borderId="57" xfId="0" applyFont="1" applyFill="1" applyBorder="1" applyAlignment="1" applyProtection="1">
      <alignment horizontal="center" vertical="center" textRotation="90" wrapText="1"/>
    </xf>
    <xf numFmtId="0" fontId="0" fillId="0" borderId="7" xfId="0" applyBorder="1" applyAlignment="1" applyProtection="1">
      <alignment horizontal="left" vertical="top" wrapText="1"/>
    </xf>
    <xf numFmtId="0" fontId="0" fillId="0" borderId="7" xfId="0" applyFill="1" applyBorder="1" applyProtection="1"/>
    <xf numFmtId="0" fontId="2" fillId="0" borderId="7" xfId="0" applyFont="1" applyFill="1" applyBorder="1" applyAlignment="1" applyProtection="1">
      <alignment horizontal="center"/>
    </xf>
    <xf numFmtId="0" fontId="17" fillId="0" borderId="7" xfId="0" applyFont="1" applyBorder="1" applyAlignment="1" applyProtection="1">
      <alignment horizontal="left"/>
    </xf>
    <xf numFmtId="0" fontId="0" fillId="0" borderId="7" xfId="0" applyFill="1" applyBorder="1" applyAlignment="1" applyProtection="1">
      <alignment horizontal="center" vertical="center" wrapText="1"/>
    </xf>
    <xf numFmtId="0" fontId="0" fillId="0" borderId="7" xfId="0" applyFill="1" applyBorder="1" applyAlignment="1" applyProtection="1">
      <alignment horizontal="center"/>
    </xf>
    <xf numFmtId="49" fontId="6" fillId="0" borderId="7" xfId="0" applyNumberFormat="1" applyFont="1" applyFill="1" applyBorder="1" applyAlignment="1" applyProtection="1">
      <alignment horizontal="right"/>
    </xf>
    <xf numFmtId="49" fontId="0" fillId="0" borderId="7" xfId="0" applyNumberFormat="1" applyFill="1" applyBorder="1" applyAlignment="1" applyProtection="1">
      <alignment horizontal="center"/>
    </xf>
    <xf numFmtId="164" fontId="7" fillId="0" borderId="7" xfId="0" applyNumberFormat="1" applyFont="1" applyFill="1" applyBorder="1" applyAlignment="1" applyProtection="1">
      <alignment horizontal="center"/>
    </xf>
    <xf numFmtId="0" fontId="8" fillId="0" borderId="7" xfId="0" applyFont="1" applyFill="1" applyBorder="1" applyAlignment="1" applyProtection="1">
      <alignment horizontal="center" vertical="center" textRotation="90" wrapText="1"/>
    </xf>
    <xf numFmtId="0" fontId="8" fillId="0" borderId="47" xfId="0" applyFont="1" applyFill="1" applyBorder="1" applyAlignment="1" applyProtection="1">
      <alignment horizontal="center" vertical="center" textRotation="90" wrapText="1"/>
    </xf>
    <xf numFmtId="0" fontId="0" fillId="0" borderId="0" xfId="0" applyFill="1" applyBorder="1" applyAlignment="1" applyProtection="1">
      <alignment horizontal="center" vertical="center" wrapText="1"/>
    </xf>
    <xf numFmtId="0" fontId="11" fillId="0" borderId="59" xfId="0" applyFont="1" applyFill="1" applyBorder="1" applyAlignment="1" applyProtection="1">
      <alignment horizontal="center" vertical="center" wrapText="1"/>
    </xf>
    <xf numFmtId="0" fontId="11" fillId="0" borderId="0" xfId="0" applyFont="1" applyBorder="1" applyAlignment="1" applyProtection="1">
      <alignment horizontal="center" vertical="center" wrapText="1"/>
    </xf>
    <xf numFmtId="168" fontId="11" fillId="0" borderId="0" xfId="0" applyNumberFormat="1" applyFont="1" applyBorder="1" applyProtection="1"/>
    <xf numFmtId="0" fontId="11" fillId="0" borderId="0" xfId="0" applyFont="1" applyBorder="1" applyAlignment="1" applyProtection="1">
      <alignment vertical="top"/>
    </xf>
    <xf numFmtId="0" fontId="11" fillId="0" borderId="0" xfId="0" applyFont="1" applyBorder="1" applyAlignment="1">
      <alignment vertical="top"/>
    </xf>
    <xf numFmtId="0" fontId="11" fillId="12" borderId="44" xfId="0" applyFont="1" applyFill="1" applyBorder="1" applyAlignment="1" applyProtection="1">
      <alignment vertical="center"/>
    </xf>
    <xf numFmtId="0" fontId="11" fillId="12" borderId="45" xfId="0" applyFont="1" applyFill="1" applyBorder="1" applyAlignment="1" applyProtection="1">
      <alignment vertical="center"/>
    </xf>
    <xf numFmtId="0" fontId="10" fillId="12" borderId="42" xfId="0" applyNumberFormat="1" applyFont="1" applyFill="1" applyBorder="1" applyAlignment="1" applyProtection="1">
      <alignment horizontal="center" vertical="center"/>
    </xf>
    <xf numFmtId="0" fontId="22" fillId="0" borderId="0" xfId="0" applyFont="1" applyBorder="1" applyAlignment="1" applyProtection="1">
      <alignment vertical="top"/>
    </xf>
    <xf numFmtId="0" fontId="0" fillId="0" borderId="21" xfId="0" applyFill="1" applyBorder="1" applyProtection="1"/>
    <xf numFmtId="0" fontId="11" fillId="0" borderId="0" xfId="0" applyFont="1" applyBorder="1" applyAlignment="1" applyProtection="1">
      <alignment horizontal="right" vertical="center" wrapText="1"/>
    </xf>
    <xf numFmtId="0" fontId="29" fillId="12" borderId="73" xfId="0" applyNumberFormat="1" applyFont="1" applyFill="1" applyBorder="1" applyAlignment="1" applyProtection="1">
      <alignment horizontal="center" vertical="center"/>
    </xf>
    <xf numFmtId="0" fontId="12" fillId="12" borderId="25" xfId="0" applyFont="1" applyFill="1" applyBorder="1" applyAlignment="1" applyProtection="1">
      <alignment horizontal="right" vertical="center"/>
    </xf>
    <xf numFmtId="0" fontId="12" fillId="12" borderId="68" xfId="0" applyNumberFormat="1" applyFont="1" applyFill="1" applyBorder="1" applyAlignment="1" applyProtection="1">
      <alignment horizontal="right" vertical="center"/>
    </xf>
    <xf numFmtId="0" fontId="22" fillId="0" borderId="0" xfId="0" applyFont="1" applyBorder="1" applyAlignment="1" applyProtection="1">
      <alignment horizontal="right" vertical="center"/>
    </xf>
    <xf numFmtId="0" fontId="33" fillId="12" borderId="42" xfId="0" applyFont="1" applyFill="1" applyBorder="1" applyAlignment="1" applyProtection="1">
      <alignment horizontal="left" vertical="center" wrapText="1"/>
    </xf>
    <xf numFmtId="0" fontId="0" fillId="0" borderId="21" xfId="0" applyBorder="1" applyAlignment="1" applyProtection="1"/>
    <xf numFmtId="0" fontId="0" fillId="0" borderId="39" xfId="0" applyBorder="1" applyAlignment="1" applyProtection="1"/>
    <xf numFmtId="3" fontId="20" fillId="0" borderId="7" xfId="0" applyNumberFormat="1" applyFont="1" applyBorder="1" applyAlignment="1" applyProtection="1">
      <alignment vertical="center"/>
    </xf>
    <xf numFmtId="3" fontId="20" fillId="0" borderId="47" xfId="0" applyNumberFormat="1" applyFont="1" applyBorder="1" applyAlignment="1" applyProtection="1">
      <alignment vertical="center"/>
    </xf>
    <xf numFmtId="37" fontId="11" fillId="0" borderId="0" xfId="2" applyNumberFormat="1" applyFont="1" applyBorder="1" applyAlignment="1" applyProtection="1">
      <alignment horizontal="center" vertical="center"/>
    </xf>
    <xf numFmtId="3" fontId="20" fillId="0" borderId="0" xfId="0" applyNumberFormat="1" applyFont="1" applyBorder="1" applyAlignment="1" applyProtection="1">
      <alignment horizontal="right" vertical="center"/>
    </xf>
    <xf numFmtId="3" fontId="11" fillId="0" borderId="0" xfId="0" applyNumberFormat="1" applyFont="1" applyBorder="1" applyAlignment="1" applyProtection="1">
      <alignment horizontal="center" vertical="center"/>
    </xf>
    <xf numFmtId="169" fontId="20" fillId="0" borderId="0" xfId="0" applyNumberFormat="1" applyFont="1" applyBorder="1" applyAlignment="1" applyProtection="1">
      <alignment horizontal="center" vertical="center"/>
    </xf>
    <xf numFmtId="2" fontId="19" fillId="2" borderId="18" xfId="0" applyNumberFormat="1" applyFont="1" applyFill="1" applyBorder="1" applyAlignment="1" applyProtection="1">
      <alignment horizontal="center" vertical="center"/>
      <protection locked="0"/>
    </xf>
    <xf numFmtId="2" fontId="19" fillId="2" borderId="10" xfId="0" applyNumberFormat="1" applyFont="1" applyFill="1" applyBorder="1" applyAlignment="1" applyProtection="1">
      <alignment horizontal="center" vertical="center"/>
      <protection locked="0"/>
    </xf>
    <xf numFmtId="2" fontId="19" fillId="2" borderId="19" xfId="0" applyNumberFormat="1" applyFont="1" applyFill="1" applyBorder="1" applyAlignment="1" applyProtection="1">
      <alignment horizontal="center" vertical="center"/>
      <protection locked="0"/>
    </xf>
    <xf numFmtId="3" fontId="23" fillId="0" borderId="23" xfId="0" applyNumberFormat="1" applyFont="1" applyBorder="1" applyAlignment="1" applyProtection="1">
      <alignment horizontal="center" vertical="center"/>
    </xf>
    <xf numFmtId="3" fontId="23" fillId="0" borderId="19" xfId="0" applyNumberFormat="1" applyFont="1" applyBorder="1" applyAlignment="1" applyProtection="1">
      <alignment horizontal="center" vertical="center"/>
    </xf>
    <xf numFmtId="3" fontId="23" fillId="0" borderId="18" xfId="0" applyNumberFormat="1" applyFont="1" applyBorder="1" applyAlignment="1" applyProtection="1">
      <alignment horizontal="center" vertical="center"/>
    </xf>
    <xf numFmtId="3" fontId="23" fillId="0" borderId="50" xfId="0" applyNumberFormat="1" applyFont="1" applyBorder="1" applyAlignment="1" applyProtection="1">
      <alignment horizontal="center" vertical="center"/>
    </xf>
    <xf numFmtId="0" fontId="54" fillId="2" borderId="35" xfId="0" applyFont="1" applyFill="1" applyBorder="1" applyAlignment="1" applyProtection="1">
      <alignment horizontal="center" vertical="center"/>
      <protection locked="0"/>
    </xf>
    <xf numFmtId="37" fontId="23" fillId="0" borderId="23" xfId="2" applyNumberFormat="1" applyFont="1" applyBorder="1" applyAlignment="1" applyProtection="1">
      <alignment horizontal="center" vertical="center"/>
    </xf>
    <xf numFmtId="0" fontId="52" fillId="2" borderId="51"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22" fillId="0" borderId="46" xfId="0" applyFont="1" applyBorder="1" applyProtection="1"/>
    <xf numFmtId="0" fontId="55" fillId="5" borderId="0" xfId="0" applyFont="1" applyFill="1" applyBorder="1" applyAlignment="1" applyProtection="1">
      <alignment horizontal="left" vertical="center"/>
    </xf>
    <xf numFmtId="0" fontId="0" fillId="12" borderId="44" xfId="0" applyFill="1" applyBorder="1" applyProtection="1"/>
    <xf numFmtId="3" fontId="53" fillId="12" borderId="44" xfId="0" applyNumberFormat="1" applyFont="1" applyFill="1" applyBorder="1" applyAlignment="1" applyProtection="1">
      <alignment horizontal="center" vertical="center"/>
    </xf>
    <xf numFmtId="0" fontId="33" fillId="12" borderId="45" xfId="0" applyFont="1" applyFill="1" applyBorder="1" applyAlignment="1" applyProtection="1">
      <alignment horizontal="left" vertical="center" wrapText="1"/>
    </xf>
    <xf numFmtId="0" fontId="5" fillId="0" borderId="18" xfId="0" applyFont="1" applyBorder="1" applyAlignment="1" applyProtection="1">
      <alignment horizontal="center"/>
    </xf>
    <xf numFmtId="0" fontId="5" fillId="0" borderId="19" xfId="0" applyFont="1" applyBorder="1" applyAlignment="1" applyProtection="1">
      <alignment horizontal="center"/>
    </xf>
    <xf numFmtId="0" fontId="22"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1" fontId="0" fillId="0" borderId="0" xfId="0" applyNumberFormat="1" applyProtection="1"/>
    <xf numFmtId="164" fontId="0" fillId="0" borderId="0" xfId="0" applyNumberFormat="1" applyProtection="1"/>
    <xf numFmtId="3" fontId="54" fillId="2" borderId="23" xfId="0" applyNumberFormat="1" applyFont="1" applyFill="1" applyBorder="1" applyAlignment="1" applyProtection="1">
      <alignment horizontal="center" vertical="center"/>
      <protection locked="0"/>
    </xf>
    <xf numFmtId="0" fontId="0" fillId="0" borderId="0" xfId="0" applyAlignment="1" applyProtection="1">
      <alignment horizontal="left" vertical="top" wrapText="1"/>
    </xf>
    <xf numFmtId="0" fontId="0" fillId="0" borderId="0" xfId="0" applyAlignment="1" applyProtection="1">
      <alignment vertical="top"/>
    </xf>
    <xf numFmtId="0" fontId="0" fillId="0" borderId="0" xfId="0" applyAlignment="1" applyProtection="1">
      <alignment horizontal="left" vertical="justify" wrapText="1"/>
    </xf>
    <xf numFmtId="0" fontId="58" fillId="0" borderId="0" xfId="0" applyFont="1" applyBorder="1" applyAlignment="1" applyProtection="1">
      <alignment horizontal="center"/>
    </xf>
    <xf numFmtId="0" fontId="61" fillId="0" borderId="0" xfId="0" applyFont="1" applyBorder="1" applyAlignment="1" applyProtection="1">
      <alignment horizontal="center"/>
    </xf>
    <xf numFmtId="1" fontId="11" fillId="0" borderId="0" xfId="0" applyNumberFormat="1" applyFont="1" applyBorder="1" applyAlignment="1" applyProtection="1">
      <alignment horizontal="left"/>
    </xf>
    <xf numFmtId="2" fontId="5" fillId="0" borderId="18" xfId="0" applyNumberFormat="1" applyFont="1" applyFill="1" applyBorder="1" applyAlignment="1" applyProtection="1">
      <alignment horizontal="center" vertical="center"/>
    </xf>
    <xf numFmtId="2" fontId="5" fillId="0" borderId="10" xfId="0" applyNumberFormat="1" applyFont="1" applyFill="1" applyBorder="1" applyAlignment="1" applyProtection="1">
      <alignment horizontal="center" vertical="center"/>
    </xf>
    <xf numFmtId="0" fontId="1" fillId="9" borderId="0" xfId="0" applyFont="1" applyFill="1" applyBorder="1" applyProtection="1"/>
    <xf numFmtId="0" fontId="0" fillId="9" borderId="0" xfId="0" applyFill="1" applyBorder="1" applyProtection="1"/>
    <xf numFmtId="0" fontId="0" fillId="9" borderId="0" xfId="0" applyFill="1" applyProtection="1"/>
    <xf numFmtId="0" fontId="1" fillId="9" borderId="0" xfId="0" applyFont="1" applyFill="1" applyAlignment="1" applyProtection="1">
      <alignment wrapText="1"/>
    </xf>
    <xf numFmtId="0" fontId="1" fillId="9" borderId="0" xfId="0" applyFont="1" applyFill="1" applyProtection="1"/>
    <xf numFmtId="0" fontId="0" fillId="9" borderId="0" xfId="0" applyFill="1" applyBorder="1" applyAlignment="1" applyProtection="1">
      <alignment horizontal="right"/>
    </xf>
    <xf numFmtId="170" fontId="0" fillId="9" borderId="0" xfId="2" applyNumberFormat="1" applyFont="1" applyFill="1" applyProtection="1"/>
    <xf numFmtId="0" fontId="1" fillId="9" borderId="0" xfId="0" applyFont="1" applyFill="1" applyBorder="1" applyAlignment="1" applyProtection="1">
      <alignment horizontal="right"/>
    </xf>
    <xf numFmtId="1" fontId="0" fillId="9" borderId="0" xfId="2" applyNumberFormat="1" applyFont="1" applyFill="1" applyProtection="1"/>
    <xf numFmtId="0" fontId="11" fillId="5" borderId="0" xfId="0" applyFont="1" applyFill="1" applyBorder="1" applyAlignment="1" applyProtection="1">
      <alignment horizontal="left" wrapText="1"/>
    </xf>
    <xf numFmtId="1" fontId="54" fillId="2" borderId="24" xfId="0" applyNumberFormat="1" applyFont="1" applyFill="1" applyBorder="1" applyAlignment="1" applyProtection="1">
      <alignment horizontal="center" vertical="center"/>
      <protection locked="0"/>
    </xf>
    <xf numFmtId="1" fontId="54" fillId="2" borderId="13" xfId="0" applyNumberFormat="1" applyFont="1" applyFill="1" applyBorder="1" applyAlignment="1" applyProtection="1">
      <alignment horizontal="center" vertical="center"/>
      <protection locked="0"/>
    </xf>
    <xf numFmtId="1" fontId="54" fillId="2" borderId="35"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63" fillId="0" borderId="0" xfId="0" applyFont="1" applyProtection="1"/>
    <xf numFmtId="0" fontId="1" fillId="0" borderId="0" xfId="0" applyFont="1" applyBorder="1" applyAlignment="1" applyProtection="1">
      <alignment vertical="center"/>
    </xf>
    <xf numFmtId="3" fontId="13" fillId="0" borderId="0" xfId="0" applyNumberFormat="1" applyFont="1" applyBorder="1" applyAlignment="1" applyProtection="1">
      <alignment horizontal="center" vertical="center"/>
    </xf>
    <xf numFmtId="37" fontId="11" fillId="0" borderId="0" xfId="2" applyNumberFormat="1" applyFont="1" applyBorder="1" applyAlignment="1" applyProtection="1">
      <alignment horizontal="center" vertical="center"/>
      <protection locked="0"/>
    </xf>
    <xf numFmtId="37" fontId="11" fillId="0" borderId="0" xfId="2" applyNumberFormat="1" applyFont="1" applyFill="1" applyBorder="1" applyAlignment="1" applyProtection="1">
      <alignment horizontal="center" vertical="center"/>
    </xf>
    <xf numFmtId="0" fontId="33" fillId="12" borderId="44" xfId="0" applyFont="1" applyFill="1" applyBorder="1" applyAlignment="1" applyProtection="1">
      <alignment horizontal="right" vertical="center"/>
    </xf>
    <xf numFmtId="0" fontId="65" fillId="0" borderId="38" xfId="0" applyFont="1" applyBorder="1" applyAlignment="1" applyProtection="1">
      <alignment horizontal="left"/>
    </xf>
    <xf numFmtId="0" fontId="65" fillId="0" borderId="60" xfId="0" applyFont="1" applyBorder="1" applyProtection="1"/>
    <xf numFmtId="0" fontId="66" fillId="0" borderId="60" xfId="0" applyFont="1" applyBorder="1" applyProtection="1"/>
    <xf numFmtId="3" fontId="11" fillId="0" borderId="39" xfId="0" applyNumberFormat="1" applyFont="1" applyBorder="1" applyAlignment="1" applyProtection="1">
      <alignment horizontal="right" vertical="center"/>
    </xf>
    <xf numFmtId="3" fontId="11" fillId="0" borderId="47" xfId="0" applyNumberFormat="1" applyFont="1" applyBorder="1" applyAlignment="1" applyProtection="1">
      <alignment horizontal="right" vertical="center"/>
    </xf>
    <xf numFmtId="1" fontId="54" fillId="2" borderId="39" xfId="0" applyNumberFormat="1" applyFont="1" applyFill="1" applyBorder="1" applyAlignment="1" applyProtection="1">
      <alignment horizontal="center" vertical="center"/>
      <protection locked="0"/>
    </xf>
    <xf numFmtId="1" fontId="54" fillId="2" borderId="14"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protection locked="0"/>
    </xf>
    <xf numFmtId="0" fontId="54" fillId="2" borderId="15" xfId="0" applyFont="1" applyFill="1" applyBorder="1" applyAlignment="1" applyProtection="1">
      <alignment horizontal="center" vertical="center"/>
      <protection locked="0"/>
    </xf>
    <xf numFmtId="0" fontId="54" fillId="2" borderId="6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protection locked="0"/>
    </xf>
    <xf numFmtId="0" fontId="0" fillId="0" borderId="4" xfId="0" applyBorder="1" applyProtection="1"/>
    <xf numFmtId="0" fontId="0" fillId="0" borderId="35" xfId="0" applyBorder="1" applyProtection="1"/>
    <xf numFmtId="0" fontId="5" fillId="8" borderId="3" xfId="0" applyFont="1" applyFill="1" applyBorder="1" applyAlignment="1" applyProtection="1">
      <alignment horizontal="left"/>
    </xf>
    <xf numFmtId="3" fontId="22" fillId="0" borderId="0" xfId="0" applyNumberFormat="1" applyFont="1" applyFill="1" applyBorder="1" applyAlignment="1" applyProtection="1">
      <alignment horizontal="right" vertical="center"/>
    </xf>
    <xf numFmtId="169" fontId="22" fillId="0" borderId="0" xfId="0" applyNumberFormat="1" applyFont="1" applyFill="1" applyBorder="1" applyAlignment="1" applyProtection="1">
      <alignment horizontal="center" vertical="center"/>
    </xf>
    <xf numFmtId="169" fontId="22" fillId="0" borderId="0" xfId="0" applyNumberFormat="1" applyFont="1" applyFill="1" applyBorder="1" applyAlignment="1" applyProtection="1">
      <alignment horizontal="left" vertical="center"/>
    </xf>
    <xf numFmtId="0" fontId="21" fillId="0" borderId="33" xfId="0" applyFont="1" applyFill="1" applyBorder="1" applyAlignment="1" applyProtection="1">
      <alignment horizontal="center" vertical="center" wrapText="1"/>
    </xf>
    <xf numFmtId="0" fontId="21" fillId="0" borderId="54" xfId="0" applyFont="1" applyFill="1" applyBorder="1" applyAlignment="1" applyProtection="1">
      <alignment horizontal="center" vertical="center" wrapText="1"/>
    </xf>
    <xf numFmtId="0" fontId="12" fillId="12" borderId="18" xfId="0" applyFont="1" applyFill="1" applyBorder="1" applyAlignment="1" applyProtection="1">
      <alignment horizontal="center" vertical="center"/>
    </xf>
    <xf numFmtId="0" fontId="12" fillId="12" borderId="10" xfId="0" applyFont="1" applyFill="1" applyBorder="1" applyAlignment="1" applyProtection="1">
      <alignment horizontal="center" vertical="center"/>
    </xf>
    <xf numFmtId="0" fontId="12" fillId="12" borderId="19" xfId="0" applyFont="1" applyFill="1" applyBorder="1" applyAlignment="1" applyProtection="1">
      <alignment horizontal="left" vertical="center"/>
    </xf>
    <xf numFmtId="1" fontId="54" fillId="7" borderId="11" xfId="0" applyNumberFormat="1" applyFont="1" applyFill="1" applyBorder="1" applyAlignment="1" applyProtection="1">
      <alignment horizontal="center" vertical="center"/>
      <protection locked="0"/>
    </xf>
    <xf numFmtId="0" fontId="56" fillId="7" borderId="12" xfId="0" applyFont="1" applyFill="1" applyBorder="1" applyAlignment="1" applyProtection="1">
      <alignment horizontal="left" vertical="center"/>
      <protection locked="0"/>
    </xf>
    <xf numFmtId="0" fontId="54" fillId="7" borderId="75" xfId="0" applyNumberFormat="1" applyFont="1" applyFill="1" applyBorder="1" applyAlignment="1" applyProtection="1">
      <alignment horizontal="center" vertical="center"/>
      <protection locked="0"/>
    </xf>
    <xf numFmtId="0" fontId="10" fillId="10" borderId="57" xfId="0" applyNumberFormat="1" applyFont="1" applyFill="1" applyBorder="1" applyAlignment="1" applyProtection="1">
      <alignment horizontal="left" vertical="center"/>
    </xf>
    <xf numFmtId="0" fontId="54" fillId="7" borderId="15" xfId="0" applyNumberFormat="1" applyFont="1" applyFill="1" applyBorder="1" applyAlignment="1" applyProtection="1">
      <alignment horizontal="center" vertical="center"/>
      <protection locked="0"/>
    </xf>
    <xf numFmtId="0" fontId="10" fillId="10" borderId="67"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wrapText="1"/>
    </xf>
    <xf numFmtId="0" fontId="12" fillId="5" borderId="0" xfId="0" applyFont="1" applyFill="1" applyBorder="1" applyAlignment="1" applyProtection="1">
      <alignment horizontal="left" vertical="top" wrapText="1"/>
    </xf>
    <xf numFmtId="0" fontId="0" fillId="0" borderId="0" xfId="0" applyBorder="1" applyAlignment="1" applyProtection="1">
      <alignment wrapText="1"/>
    </xf>
    <xf numFmtId="0" fontId="0" fillId="0" borderId="0" xfId="0" applyBorder="1" applyAlignment="1"/>
    <xf numFmtId="0" fontId="0" fillId="11" borderId="44" xfId="0" applyFill="1" applyBorder="1" applyAlignment="1" applyProtection="1">
      <alignment horizontal="center" vertical="center" wrapText="1"/>
    </xf>
    <xf numFmtId="0" fontId="0" fillId="4" borderId="45" xfId="0" applyFill="1" applyBorder="1" applyAlignment="1" applyProtection="1">
      <alignment horizontal="center" vertical="center" wrapText="1"/>
    </xf>
    <xf numFmtId="0" fontId="11" fillId="0" borderId="0" xfId="0" applyFont="1" applyBorder="1" applyAlignment="1" applyProtection="1">
      <alignment horizontal="right"/>
    </xf>
    <xf numFmtId="0" fontId="0" fillId="0" borderId="0" xfId="0" applyBorder="1" applyAlignment="1" applyProtection="1"/>
    <xf numFmtId="0" fontId="33" fillId="12" borderId="38" xfId="0" applyFont="1" applyFill="1" applyBorder="1" applyAlignment="1" applyProtection="1">
      <alignment horizontal="left" vertical="center" wrapText="1"/>
    </xf>
    <xf numFmtId="0" fontId="33" fillId="12" borderId="21" xfId="0" applyFont="1" applyFill="1" applyBorder="1" applyAlignment="1" applyProtection="1">
      <alignment horizontal="left" vertical="center" wrapText="1"/>
    </xf>
    <xf numFmtId="0" fontId="33" fillId="12" borderId="39" xfId="0" applyFont="1" applyFill="1" applyBorder="1" applyAlignment="1" applyProtection="1">
      <alignment horizontal="left" vertical="center" wrapText="1"/>
    </xf>
    <xf numFmtId="0" fontId="0" fillId="4" borderId="42" xfId="0" applyFill="1" applyBorder="1" applyAlignment="1" applyProtection="1">
      <alignment horizontal="center" vertical="center" wrapText="1"/>
    </xf>
    <xf numFmtId="0" fontId="0" fillId="4" borderId="44" xfId="0" applyFill="1" applyBorder="1" applyAlignment="1" applyProtection="1">
      <alignment horizontal="center" vertical="center" wrapText="1"/>
    </xf>
    <xf numFmtId="0" fontId="20" fillId="0" borderId="0" xfId="0" applyFont="1" applyBorder="1" applyAlignment="1" applyProtection="1">
      <alignment horizontal="right" vertical="center"/>
    </xf>
    <xf numFmtId="0" fontId="0" fillId="0" borderId="38" xfId="0" applyBorder="1" applyAlignment="1" applyProtection="1">
      <alignment horizontal="left" vertical="top" wrapText="1"/>
      <protection locked="0"/>
    </xf>
    <xf numFmtId="0" fontId="0" fillId="0" borderId="60" xfId="0" applyBorder="1" applyAlignment="1" applyProtection="1">
      <alignment vertical="top"/>
    </xf>
    <xf numFmtId="0" fontId="1" fillId="0" borderId="47" xfId="0" applyFont="1" applyBorder="1" applyAlignment="1" applyProtection="1">
      <alignment horizontal="left" vertical="top" wrapText="1"/>
    </xf>
    <xf numFmtId="0" fontId="13" fillId="0" borderId="57" xfId="0" applyFont="1" applyBorder="1" applyAlignment="1" applyProtection="1">
      <alignment horizontal="center"/>
    </xf>
    <xf numFmtId="0" fontId="1" fillId="0" borderId="57" xfId="0" applyFont="1" applyBorder="1" applyAlignment="1" applyProtection="1">
      <alignment horizontal="center"/>
    </xf>
    <xf numFmtId="0" fontId="10" fillId="0" borderId="57" xfId="0" applyNumberFormat="1" applyFont="1" applyFill="1" applyBorder="1" applyAlignment="1" applyProtection="1">
      <alignment horizontal="left" vertical="center"/>
    </xf>
    <xf numFmtId="0" fontId="11" fillId="0" borderId="57" xfId="0" applyFont="1" applyBorder="1" applyAlignment="1">
      <alignment vertical="top"/>
    </xf>
    <xf numFmtId="0" fontId="0" fillId="0" borderId="57" xfId="0" applyBorder="1" applyAlignment="1"/>
    <xf numFmtId="0" fontId="0" fillId="0" borderId="0" xfId="0" applyFill="1" applyBorder="1" applyAlignment="1" applyProtection="1">
      <alignment horizontal="center" vertical="center" wrapText="1"/>
    </xf>
    <xf numFmtId="0" fontId="17" fillId="0" borderId="7" xfId="0" applyFont="1" applyBorder="1" applyProtection="1"/>
    <xf numFmtId="0" fontId="1" fillId="0" borderId="7" xfId="0" applyFont="1" applyFill="1" applyBorder="1" applyAlignment="1" applyProtection="1">
      <alignment horizontal="right" vertical="center"/>
    </xf>
    <xf numFmtId="9" fontId="0" fillId="0" borderId="7" xfId="0" applyNumberFormat="1" applyFill="1" applyBorder="1" applyAlignment="1" applyProtection="1">
      <alignment horizontal="center"/>
    </xf>
    <xf numFmtId="3" fontId="0" fillId="0" borderId="7" xfId="0" applyNumberFormat="1" applyBorder="1" applyProtection="1"/>
    <xf numFmtId="164" fontId="5" fillId="0" borderId="7" xfId="0" applyNumberFormat="1" applyFont="1" applyBorder="1" applyAlignment="1" applyProtection="1">
      <alignment horizontal="center" vertical="center"/>
    </xf>
    <xf numFmtId="3" fontId="6" fillId="0" borderId="7" xfId="0" applyNumberFormat="1" applyFont="1" applyFill="1" applyBorder="1" applyAlignment="1" applyProtection="1">
      <alignment horizontal="left" vertical="center"/>
    </xf>
    <xf numFmtId="3" fontId="5" fillId="0" borderId="7" xfId="0" applyNumberFormat="1" applyFont="1" applyBorder="1" applyAlignment="1" applyProtection="1">
      <alignment horizontal="right" vertical="center"/>
    </xf>
    <xf numFmtId="3" fontId="0" fillId="0" borderId="7" xfId="0" applyNumberFormat="1" applyFill="1" applyBorder="1" applyProtection="1"/>
    <xf numFmtId="0" fontId="0" fillId="0" borderId="47" xfId="0" applyFill="1" applyBorder="1" applyProtection="1"/>
    <xf numFmtId="0" fontId="65" fillId="0" borderId="46" xfId="0" applyFont="1" applyBorder="1" applyProtection="1"/>
    <xf numFmtId="49" fontId="4" fillId="0" borderId="7" xfId="0" applyNumberFormat="1" applyFont="1" applyFill="1" applyBorder="1" applyAlignment="1" applyProtection="1">
      <alignment horizontal="center"/>
    </xf>
    <xf numFmtId="164" fontId="57" fillId="0" borderId="7" xfId="0" applyNumberFormat="1" applyFont="1" applyFill="1" applyBorder="1" applyAlignment="1" applyProtection="1">
      <alignment horizontal="center"/>
    </xf>
    <xf numFmtId="0" fontId="12" fillId="0" borderId="3" xfId="0" applyFont="1" applyFill="1" applyBorder="1" applyAlignment="1" applyProtection="1">
      <alignment horizontal="right" vertical="center"/>
    </xf>
    <xf numFmtId="0" fontId="1" fillId="0" borderId="57" xfId="0" applyFont="1" applyBorder="1" applyAlignment="1" applyProtection="1">
      <alignment horizontal="left" vertical="top" wrapText="1"/>
    </xf>
    <xf numFmtId="172" fontId="18" fillId="2" borderId="1" xfId="3" applyNumberFormat="1" applyFont="1" applyFill="1" applyBorder="1" applyProtection="1">
      <protection locked="0"/>
    </xf>
    <xf numFmtId="172" fontId="18" fillId="2" borderId="3" xfId="3" applyNumberFormat="1" applyFont="1" applyFill="1" applyBorder="1" applyProtection="1">
      <protection locked="0"/>
    </xf>
    <xf numFmtId="172" fontId="18" fillId="2" borderId="5" xfId="3" applyNumberFormat="1" applyFont="1" applyFill="1" applyBorder="1" applyProtection="1">
      <protection locked="0"/>
    </xf>
    <xf numFmtId="172" fontId="18" fillId="2" borderId="9" xfId="3" applyNumberFormat="1" applyFont="1" applyFill="1" applyBorder="1" applyProtection="1">
      <protection locked="0"/>
    </xf>
    <xf numFmtId="172" fontId="18" fillId="2" borderId="10" xfId="3" applyNumberFormat="1" applyFont="1" applyFill="1" applyBorder="1" applyProtection="1">
      <protection locked="0"/>
    </xf>
    <xf numFmtId="0" fontId="6" fillId="0" borderId="60" xfId="0" applyFont="1" applyBorder="1" applyAlignment="1" applyProtection="1">
      <alignment vertical="top" wrapText="1"/>
    </xf>
    <xf numFmtId="0" fontId="1" fillId="0" borderId="46" xfId="0" applyFont="1" applyBorder="1" applyAlignment="1" applyProtection="1">
      <alignment vertical="top" wrapText="1"/>
    </xf>
    <xf numFmtId="0" fontId="12" fillId="0" borderId="0" xfId="0" applyFont="1" applyAlignment="1" applyProtection="1">
      <alignment horizontal="center" vertical="center"/>
    </xf>
    <xf numFmtId="3" fontId="5" fillId="0" borderId="0" xfId="0" applyNumberFormat="1" applyFont="1" applyBorder="1" applyAlignment="1" applyProtection="1">
      <alignment horizontal="center" vertical="center" wrapText="1"/>
    </xf>
    <xf numFmtId="0" fontId="0" fillId="0" borderId="0" xfId="0" applyAlignment="1" applyProtection="1">
      <alignment horizontal="center" vertical="center" wrapText="1"/>
    </xf>
    <xf numFmtId="0" fontId="0" fillId="4" borderId="15" xfId="0" applyFill="1" applyBorder="1" applyAlignment="1" applyProtection="1">
      <alignment horizontal="center"/>
    </xf>
    <xf numFmtId="0" fontId="1" fillId="4" borderId="77" xfId="0" applyFont="1" applyFill="1" applyBorder="1" applyAlignment="1" applyProtection="1">
      <alignment wrapText="1"/>
    </xf>
    <xf numFmtId="3" fontId="0" fillId="0" borderId="11" xfId="0" applyNumberFormat="1" applyBorder="1" applyAlignment="1" applyProtection="1">
      <alignment horizontal="center"/>
    </xf>
    <xf numFmtId="3" fontId="0" fillId="0" borderId="1" xfId="0" applyNumberFormat="1" applyBorder="1" applyAlignment="1" applyProtection="1">
      <alignment horizontal="center"/>
    </xf>
    <xf numFmtId="3" fontId="0" fillId="0" borderId="12" xfId="0" applyNumberFormat="1" applyBorder="1" applyAlignment="1" applyProtection="1">
      <alignment horizontal="center"/>
    </xf>
    <xf numFmtId="0" fontId="1" fillId="4" borderId="78" xfId="0" applyFont="1" applyFill="1" applyBorder="1" applyAlignment="1" applyProtection="1">
      <alignment wrapText="1"/>
    </xf>
    <xf numFmtId="3" fontId="0" fillId="0" borderId="15" xfId="0" applyNumberFormat="1" applyBorder="1" applyAlignment="1" applyProtection="1">
      <alignment horizontal="center"/>
    </xf>
    <xf numFmtId="3" fontId="0" fillId="0" borderId="5" xfId="0" applyNumberFormat="1" applyBorder="1" applyAlignment="1" applyProtection="1">
      <alignment horizontal="center"/>
    </xf>
    <xf numFmtId="3" fontId="0" fillId="0" borderId="16" xfId="0" applyNumberFormat="1" applyBorder="1" applyAlignment="1" applyProtection="1">
      <alignment horizontal="center"/>
    </xf>
    <xf numFmtId="0" fontId="0" fillId="4" borderId="26" xfId="0" applyFill="1" applyBorder="1" applyAlignment="1" applyProtection="1">
      <alignment horizontal="center"/>
    </xf>
    <xf numFmtId="0" fontId="1" fillId="4" borderId="27" xfId="0" applyFont="1" applyFill="1" applyBorder="1" applyAlignment="1" applyProtection="1">
      <alignment horizontal="center" wrapText="1"/>
    </xf>
    <xf numFmtId="0" fontId="0" fillId="0" borderId="11" xfId="0" applyBorder="1" applyAlignment="1" applyProtection="1">
      <alignment horizontal="right"/>
    </xf>
    <xf numFmtId="0" fontId="0" fillId="0" borderId="13" xfId="0" applyBorder="1" applyAlignment="1" applyProtection="1">
      <alignment horizontal="right"/>
    </xf>
    <xf numFmtId="0" fontId="0" fillId="0" borderId="15" xfId="0" applyBorder="1" applyAlignment="1" applyProtection="1">
      <alignment horizontal="right"/>
    </xf>
    <xf numFmtId="0" fontId="0" fillId="13" borderId="62" xfId="0" applyFill="1" applyBorder="1" applyAlignment="1" applyProtection="1">
      <alignment horizontal="right"/>
    </xf>
    <xf numFmtId="0" fontId="0" fillId="13" borderId="15" xfId="0" applyFill="1" applyBorder="1" applyAlignment="1" applyProtection="1">
      <alignment horizontal="right"/>
    </xf>
    <xf numFmtId="0" fontId="0" fillId="0" borderId="23" xfId="0" applyBorder="1" applyAlignment="1" applyProtection="1">
      <alignment horizontal="center" vertical="center"/>
    </xf>
    <xf numFmtId="0" fontId="0" fillId="0" borderId="18" xfId="0" applyBorder="1" applyAlignment="1" applyProtection="1">
      <alignment horizontal="right"/>
    </xf>
    <xf numFmtId="0" fontId="0" fillId="0" borderId="0" xfId="0" applyAlignment="1" applyProtection="1">
      <alignment horizontal="left"/>
    </xf>
    <xf numFmtId="3" fontId="0" fillId="0" borderId="0" xfId="0" applyNumberFormat="1" applyProtection="1"/>
    <xf numFmtId="171" fontId="0" fillId="0" borderId="0" xfId="0" applyNumberFormat="1" applyProtection="1"/>
    <xf numFmtId="0" fontId="47" fillId="0" borderId="39" xfId="0" applyFont="1" applyBorder="1" applyProtection="1"/>
    <xf numFmtId="3" fontId="0" fillId="0" borderId="0" xfId="0" applyNumberFormat="1" applyBorder="1" applyAlignment="1" applyProtection="1">
      <alignment horizontal="center"/>
    </xf>
    <xf numFmtId="0" fontId="0" fillId="0" borderId="0" xfId="0" applyAlignment="1" applyProtection="1">
      <alignment horizontal="center"/>
    </xf>
    <xf numFmtId="172" fontId="7" fillId="5" borderId="1" xfId="3" applyNumberFormat="1" applyFont="1" applyFill="1" applyBorder="1" applyProtection="1"/>
    <xf numFmtId="172" fontId="7" fillId="5" borderId="3" xfId="3" applyNumberFormat="1" applyFont="1" applyFill="1" applyBorder="1" applyProtection="1"/>
    <xf numFmtId="172" fontId="7" fillId="5" borderId="5" xfId="3" applyNumberFormat="1" applyFont="1" applyFill="1" applyBorder="1" applyProtection="1"/>
    <xf numFmtId="172" fontId="7" fillId="13" borderId="9" xfId="3" applyNumberFormat="1" applyFont="1" applyFill="1" applyBorder="1" applyProtection="1"/>
    <xf numFmtId="172" fontId="7" fillId="13" borderId="5" xfId="3" applyNumberFormat="1" applyFont="1" applyFill="1" applyBorder="1" applyProtection="1"/>
    <xf numFmtId="172" fontId="7" fillId="5" borderId="10" xfId="3" applyNumberFormat="1" applyFont="1" applyFill="1" applyBorder="1" applyProtection="1"/>
    <xf numFmtId="172" fontId="11" fillId="0" borderId="0" xfId="0" applyNumberFormat="1" applyFont="1" applyProtection="1"/>
    <xf numFmtId="0" fontId="11" fillId="0" borderId="0" xfId="0" applyFont="1" applyProtection="1"/>
    <xf numFmtId="0" fontId="0" fillId="0" borderId="0" xfId="0" applyProtection="1">
      <protection locked="0"/>
    </xf>
    <xf numFmtId="3" fontId="5" fillId="0" borderId="0" xfId="0" applyNumberFormat="1"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3" fontId="0" fillId="0" borderId="0" xfId="0" applyNumberFormat="1" applyBorder="1" applyAlignment="1" applyProtection="1">
      <alignment horizontal="center"/>
      <protection locked="0"/>
    </xf>
    <xf numFmtId="3" fontId="0" fillId="0" borderId="0" xfId="0" applyNumberFormat="1" applyProtection="1">
      <protection locked="0"/>
    </xf>
    <xf numFmtId="44" fontId="0" fillId="0" borderId="0" xfId="0" applyNumberFormat="1" applyProtection="1">
      <protection locked="0"/>
    </xf>
    <xf numFmtId="0" fontId="11" fillId="4" borderId="27" xfId="0" applyFont="1" applyFill="1" applyBorder="1" applyAlignment="1" applyProtection="1">
      <alignment horizontal="center" vertical="center" wrapText="1"/>
    </xf>
    <xf numFmtId="0" fontId="11" fillId="4" borderId="57" xfId="0" applyFont="1" applyFill="1" applyBorder="1" applyAlignment="1" applyProtection="1">
      <alignment horizontal="center" vertical="center" wrapText="1"/>
    </xf>
    <xf numFmtId="0" fontId="1" fillId="0" borderId="60" xfId="0" applyFont="1" applyBorder="1" applyAlignment="1" applyProtection="1">
      <alignment horizontal="left" vertical="top" wrapText="1"/>
    </xf>
    <xf numFmtId="0" fontId="0" fillId="0" borderId="57" xfId="0" applyBorder="1" applyAlignment="1" applyProtection="1">
      <alignment horizontal="left" vertical="top" wrapText="1"/>
    </xf>
    <xf numFmtId="0" fontId="1" fillId="0" borderId="57" xfId="0" applyFont="1" applyBorder="1" applyAlignment="1" applyProtection="1">
      <alignment horizontal="left" vertical="top" wrapText="1"/>
    </xf>
    <xf numFmtId="0" fontId="11" fillId="0" borderId="0" xfId="0" applyFont="1" applyFill="1" applyBorder="1" applyAlignment="1" applyProtection="1">
      <alignment horizontal="left" vertical="center"/>
    </xf>
    <xf numFmtId="0" fontId="11" fillId="0" borderId="57" xfId="0" applyFont="1" applyFill="1" applyBorder="1" applyAlignment="1" applyProtection="1">
      <alignment horizontal="left" vertical="center"/>
    </xf>
    <xf numFmtId="0" fontId="42" fillId="0" borderId="32" xfId="0" applyFont="1" applyFill="1" applyBorder="1" applyAlignment="1" applyProtection="1">
      <alignment horizontal="center" vertical="center"/>
    </xf>
    <xf numFmtId="0" fontId="42" fillId="0" borderId="35" xfId="0" applyFont="1" applyFill="1" applyBorder="1" applyAlignment="1" applyProtection="1">
      <alignment horizontal="center" vertical="center"/>
    </xf>
    <xf numFmtId="2" fontId="20" fillId="0" borderId="32" xfId="0" applyNumberFormat="1" applyFont="1" applyFill="1" applyBorder="1" applyAlignment="1" applyProtection="1">
      <alignment horizontal="center" vertical="center"/>
    </xf>
    <xf numFmtId="0" fontId="59" fillId="0" borderId="7" xfId="0" applyFont="1" applyFill="1" applyBorder="1" applyAlignment="1" applyProtection="1">
      <alignment vertical="top" wrapText="1"/>
    </xf>
    <xf numFmtId="0" fontId="60" fillId="0" borderId="7" xfId="0" applyFont="1" applyBorder="1" applyAlignment="1">
      <alignment wrapText="1"/>
    </xf>
    <xf numFmtId="0" fontId="59" fillId="0" borderId="52" xfId="0" applyFont="1" applyFill="1" applyBorder="1" applyAlignment="1" applyProtection="1">
      <alignment vertical="top" wrapText="1"/>
    </xf>
    <xf numFmtId="0" fontId="62" fillId="0" borderId="52" xfId="0" applyFont="1" applyBorder="1" applyAlignment="1">
      <alignment wrapText="1"/>
    </xf>
    <xf numFmtId="0" fontId="62" fillId="0" borderId="0" xfId="0" applyFont="1" applyBorder="1" applyAlignment="1">
      <alignment wrapText="1"/>
    </xf>
    <xf numFmtId="0" fontId="60" fillId="0" borderId="40" xfId="0" applyFont="1" applyBorder="1" applyAlignment="1"/>
    <xf numFmtId="0" fontId="20" fillId="0" borderId="32" xfId="0" applyFont="1" applyFill="1" applyBorder="1" applyAlignment="1" applyProtection="1">
      <alignment horizontal="left" vertical="center"/>
    </xf>
    <xf numFmtId="0" fontId="0" fillId="0" borderId="32" xfId="0" applyBorder="1" applyAlignment="1">
      <alignment horizontal="left" vertical="center"/>
    </xf>
    <xf numFmtId="0" fontId="0" fillId="0" borderId="35" xfId="0" applyBorder="1" applyAlignment="1">
      <alignment horizontal="left" vertical="center"/>
    </xf>
    <xf numFmtId="0" fontId="20" fillId="0" borderId="32" xfId="0" applyFont="1" applyBorder="1" applyAlignment="1" applyProtection="1">
      <alignment horizontal="left" vertical="center"/>
    </xf>
    <xf numFmtId="0" fontId="20" fillId="0" borderId="58" xfId="0" applyFont="1" applyBorder="1" applyAlignment="1" applyProtection="1">
      <alignment horizontal="center" vertical="center"/>
    </xf>
    <xf numFmtId="0" fontId="0" fillId="0" borderId="0" xfId="0" applyAlignment="1" applyProtection="1">
      <alignment horizontal="center"/>
    </xf>
    <xf numFmtId="0" fontId="20" fillId="0" borderId="0" xfId="0" applyFont="1" applyBorder="1" applyAlignment="1" applyProtection="1">
      <alignment horizontal="right" vertical="center"/>
    </xf>
    <xf numFmtId="0" fontId="0" fillId="0" borderId="59" xfId="0" applyBorder="1" applyAlignment="1" applyProtection="1">
      <alignment horizontal="right"/>
    </xf>
    <xf numFmtId="0" fontId="0" fillId="4" borderId="34" xfId="0" applyFill="1" applyBorder="1" applyAlignment="1" applyProtection="1">
      <alignment horizontal="center" vertical="center"/>
    </xf>
    <xf numFmtId="0" fontId="0" fillId="4" borderId="35" xfId="0" applyFill="1" applyBorder="1" applyAlignment="1" applyProtection="1">
      <alignment horizontal="center" vertical="center"/>
    </xf>
    <xf numFmtId="0" fontId="0" fillId="4" borderId="9" xfId="0" applyFill="1" applyBorder="1" applyAlignment="1" applyProtection="1">
      <alignment horizontal="center" vertical="center" wrapText="1"/>
    </xf>
    <xf numFmtId="0" fontId="0" fillId="4" borderId="36" xfId="0" applyFill="1" applyBorder="1" applyAlignment="1" applyProtection="1">
      <alignment horizontal="center" vertical="center" wrapText="1"/>
    </xf>
    <xf numFmtId="0" fontId="0" fillId="4" borderId="3" xfId="0" applyFill="1" applyBorder="1" applyAlignment="1" applyProtection="1">
      <alignment horizontal="center" vertical="center" wrapText="1"/>
    </xf>
    <xf numFmtId="0" fontId="0" fillId="4" borderId="5" xfId="0" applyFill="1" applyBorder="1" applyAlignment="1" applyProtection="1">
      <alignment horizontal="center" vertical="center" wrapText="1"/>
    </xf>
    <xf numFmtId="0" fontId="8" fillId="4" borderId="58" xfId="0" applyFont="1" applyFill="1" applyBorder="1" applyAlignment="1" applyProtection="1">
      <alignment horizontal="center" vertical="center" textRotation="90" wrapText="1"/>
    </xf>
    <xf numFmtId="0" fontId="8" fillId="4" borderId="48" xfId="0" applyFont="1" applyFill="1" applyBorder="1" applyAlignment="1" applyProtection="1">
      <alignment horizontal="center" vertical="center" textRotation="90" wrapText="1"/>
    </xf>
    <xf numFmtId="0" fontId="0" fillId="0" borderId="4" xfId="0" applyBorder="1" applyAlignment="1" applyProtection="1">
      <alignment horizontal="center"/>
    </xf>
    <xf numFmtId="0" fontId="0" fillId="0" borderId="32" xfId="0" applyBorder="1" applyAlignment="1" applyProtection="1">
      <alignment horizontal="center"/>
    </xf>
    <xf numFmtId="0" fontId="0" fillId="0" borderId="35" xfId="0" applyBorder="1" applyAlignment="1" applyProtection="1">
      <alignment horizontal="center"/>
    </xf>
    <xf numFmtId="165" fontId="39" fillId="2" borderId="4" xfId="0" applyNumberFormat="1" applyFont="1" applyFill="1" applyBorder="1" applyAlignment="1" applyProtection="1">
      <alignment horizontal="center" vertical="center"/>
      <protection locked="0"/>
    </xf>
    <xf numFmtId="165" fontId="39" fillId="2" borderId="35" xfId="0" applyNumberFormat="1" applyFont="1" applyFill="1" applyBorder="1" applyAlignment="1" applyProtection="1">
      <alignment horizontal="center" vertical="center"/>
      <protection locked="0"/>
    </xf>
    <xf numFmtId="0" fontId="1" fillId="4" borderId="42" xfId="0" applyFont="1" applyFill="1" applyBorder="1" applyAlignment="1" applyProtection="1">
      <alignment horizontal="center" vertical="center" wrapText="1"/>
    </xf>
    <xf numFmtId="0" fontId="0" fillId="4" borderId="45" xfId="0" applyFill="1" applyBorder="1" applyAlignment="1" applyProtection="1">
      <alignment horizontal="center" vertical="center" wrapText="1"/>
    </xf>
    <xf numFmtId="0" fontId="12" fillId="12" borderId="42" xfId="0" applyNumberFormat="1" applyFont="1" applyFill="1" applyBorder="1" applyAlignment="1" applyProtection="1">
      <alignment horizontal="right" vertical="center" wrapText="1"/>
    </xf>
    <xf numFmtId="0" fontId="0" fillId="12" borderId="44" xfId="0" applyFill="1" applyBorder="1" applyAlignment="1" applyProtection="1">
      <alignment vertical="center"/>
    </xf>
    <xf numFmtId="0" fontId="39" fillId="2" borderId="2" xfId="0" applyFont="1" applyFill="1" applyBorder="1" applyAlignment="1" applyProtection="1">
      <alignment horizontal="left" vertical="center"/>
      <protection locked="0"/>
    </xf>
    <xf numFmtId="0" fontId="39" fillId="2" borderId="30" xfId="0" applyFont="1" applyFill="1" applyBorder="1" applyAlignment="1" applyProtection="1">
      <alignment horizontal="left" vertical="center"/>
      <protection locked="0"/>
    </xf>
    <xf numFmtId="0" fontId="39" fillId="2" borderId="37" xfId="0" applyFont="1" applyFill="1" applyBorder="1" applyAlignment="1" applyProtection="1">
      <alignment horizontal="left" vertical="center"/>
      <protection locked="0"/>
    </xf>
    <xf numFmtId="0" fontId="39" fillId="2" borderId="58" xfId="0" applyFont="1" applyFill="1" applyBorder="1" applyAlignment="1" applyProtection="1">
      <alignment horizontal="left" vertical="top" wrapText="1"/>
      <protection locked="0"/>
    </xf>
    <xf numFmtId="0" fontId="39" fillId="2" borderId="0" xfId="0" applyFont="1" applyFill="1" applyBorder="1" applyAlignment="1" applyProtection="1">
      <alignment horizontal="left" vertical="top" wrapText="1"/>
      <protection locked="0"/>
    </xf>
    <xf numFmtId="0" fontId="39" fillId="2" borderId="57" xfId="0" applyFont="1" applyFill="1" applyBorder="1" applyAlignment="1" applyProtection="1">
      <alignment horizontal="left" vertical="top" wrapText="1"/>
      <protection locked="0"/>
    </xf>
    <xf numFmtId="0" fontId="39" fillId="2" borderId="48" xfId="0" applyFont="1" applyFill="1" applyBorder="1" applyAlignment="1" applyProtection="1">
      <alignment horizontal="left" vertical="top" wrapText="1"/>
      <protection locked="0"/>
    </xf>
    <xf numFmtId="0" fontId="39" fillId="2" borderId="7" xfId="0" applyFont="1" applyFill="1" applyBorder="1" applyAlignment="1" applyProtection="1">
      <alignment horizontal="left" vertical="top" wrapText="1"/>
      <protection locked="0"/>
    </xf>
    <xf numFmtId="0" fontId="39" fillId="2" borderId="47" xfId="0" applyFont="1" applyFill="1" applyBorder="1" applyAlignment="1" applyProtection="1">
      <alignment horizontal="left" vertical="top" wrapText="1"/>
      <protection locked="0"/>
    </xf>
    <xf numFmtId="0" fontId="12" fillId="12" borderId="15" xfId="0" applyNumberFormat="1" applyFont="1" applyFill="1" applyBorder="1" applyAlignment="1" applyProtection="1">
      <alignment horizontal="right" vertical="center" wrapText="1"/>
    </xf>
    <xf numFmtId="0" fontId="12" fillId="12" borderId="28" xfId="0" applyFont="1" applyFill="1" applyBorder="1" applyAlignment="1" applyProtection="1">
      <alignment vertical="center" wrapText="1"/>
    </xf>
    <xf numFmtId="0" fontId="7" fillId="0" borderId="2" xfId="0" applyFont="1" applyFill="1" applyBorder="1" applyAlignment="1" applyProtection="1">
      <alignment horizontal="left" vertical="center"/>
    </xf>
    <xf numFmtId="0" fontId="12" fillId="0" borderId="37" xfId="0" applyFont="1" applyBorder="1" applyAlignment="1" applyProtection="1">
      <alignment vertical="center"/>
    </xf>
    <xf numFmtId="0" fontId="7" fillId="0" borderId="36" xfId="0" applyFont="1" applyFill="1" applyBorder="1" applyAlignment="1" applyProtection="1">
      <alignment horizontal="left" vertical="center"/>
    </xf>
    <xf numFmtId="0" fontId="12" fillId="0" borderId="66" xfId="0" applyFont="1" applyBorder="1" applyAlignment="1" applyProtection="1">
      <alignment vertical="center"/>
    </xf>
    <xf numFmtId="0" fontId="11" fillId="0" borderId="0" xfId="0" applyFont="1" applyBorder="1" applyAlignment="1" applyProtection="1">
      <alignment horizontal="right"/>
    </xf>
    <xf numFmtId="0" fontId="0" fillId="0" borderId="0" xfId="0" applyBorder="1" applyAlignment="1" applyProtection="1"/>
    <xf numFmtId="165" fontId="30" fillId="0" borderId="0" xfId="0" applyNumberFormat="1" applyFont="1" applyFill="1" applyBorder="1" applyAlignment="1" applyProtection="1">
      <alignment horizontal="center" vertical="center"/>
    </xf>
    <xf numFmtId="0" fontId="36" fillId="0" borderId="0" xfId="0" applyFont="1" applyFill="1" applyBorder="1" applyAlignment="1" applyProtection="1"/>
    <xf numFmtId="0" fontId="11" fillId="12" borderId="42" xfId="0" applyFont="1" applyFill="1" applyBorder="1" applyAlignment="1" applyProtection="1">
      <alignment horizontal="center" vertical="center" wrapText="1"/>
    </xf>
    <xf numFmtId="0" fontId="0" fillId="12" borderId="44" xfId="0" applyFill="1" applyBorder="1" applyAlignment="1" applyProtection="1">
      <alignment horizontal="center" vertical="center" wrapText="1"/>
    </xf>
    <xf numFmtId="0" fontId="0" fillId="12" borderId="45" xfId="0" applyFill="1" applyBorder="1" applyAlignment="1" applyProtection="1">
      <alignment horizontal="center" vertical="center" wrapText="1"/>
    </xf>
    <xf numFmtId="0" fontId="12" fillId="12" borderId="18" xfId="0" applyNumberFormat="1" applyFont="1" applyFill="1" applyBorder="1" applyAlignment="1" applyProtection="1">
      <alignment horizontal="right" vertical="center" wrapText="1"/>
    </xf>
    <xf numFmtId="0" fontId="12" fillId="12" borderId="50" xfId="0" applyFont="1" applyFill="1" applyBorder="1" applyAlignment="1" applyProtection="1">
      <alignment vertical="center" wrapText="1"/>
    </xf>
    <xf numFmtId="0" fontId="12" fillId="0" borderId="60" xfId="0" applyFont="1" applyBorder="1" applyAlignment="1" applyProtection="1">
      <alignment horizontal="right" vertical="center" wrapText="1"/>
    </xf>
    <xf numFmtId="0" fontId="12" fillId="0" borderId="59" xfId="0" applyFont="1" applyBorder="1" applyAlignment="1" applyProtection="1">
      <alignment horizontal="right" vertical="center" wrapText="1"/>
    </xf>
    <xf numFmtId="0" fontId="12" fillId="12" borderId="46" xfId="0" applyFont="1" applyFill="1" applyBorder="1" applyAlignment="1" applyProtection="1">
      <alignment horizontal="center"/>
      <protection hidden="1"/>
    </xf>
    <xf numFmtId="0" fontId="12" fillId="12" borderId="7" xfId="0" applyFont="1" applyFill="1" applyBorder="1" applyAlignment="1" applyProtection="1">
      <alignment horizontal="center"/>
      <protection hidden="1"/>
    </xf>
    <xf numFmtId="0" fontId="12" fillId="12" borderId="47" xfId="0" applyFont="1" applyFill="1" applyBorder="1" applyAlignment="1" applyProtection="1">
      <alignment horizontal="center"/>
      <protection hidden="1"/>
    </xf>
    <xf numFmtId="0" fontId="33" fillId="12" borderId="38" xfId="0" applyFont="1" applyFill="1" applyBorder="1" applyAlignment="1" applyProtection="1">
      <alignment horizontal="left" vertical="center" wrapText="1"/>
    </xf>
    <xf numFmtId="0" fontId="33" fillId="12" borderId="21" xfId="0" applyFont="1" applyFill="1" applyBorder="1" applyAlignment="1" applyProtection="1">
      <alignment horizontal="left" vertical="center" wrapText="1"/>
    </xf>
    <xf numFmtId="0" fontId="33" fillId="12" borderId="39" xfId="0" applyFont="1" applyFill="1" applyBorder="1" applyAlignment="1" applyProtection="1">
      <alignment horizontal="left" vertical="center" wrapText="1"/>
    </xf>
    <xf numFmtId="0" fontId="0" fillId="4" borderId="42" xfId="0" applyFill="1" applyBorder="1" applyAlignment="1" applyProtection="1">
      <alignment horizontal="center" vertical="center" wrapText="1"/>
    </xf>
    <xf numFmtId="0" fontId="0" fillId="4" borderId="44" xfId="0" applyFill="1" applyBorder="1" applyAlignment="1" applyProtection="1">
      <alignment horizontal="center" vertical="center" wrapText="1"/>
    </xf>
    <xf numFmtId="0" fontId="7" fillId="0" borderId="42" xfId="0" applyNumberFormat="1" applyFont="1" applyFill="1" applyBorder="1" applyAlignment="1" applyProtection="1">
      <alignment horizontal="center" vertical="center"/>
    </xf>
    <xf numFmtId="0" fontId="7" fillId="0" borderId="45" xfId="0" applyNumberFormat="1" applyFont="1" applyFill="1" applyBorder="1" applyAlignment="1" applyProtection="1">
      <alignment horizontal="center" vertical="center"/>
    </xf>
    <xf numFmtId="0" fontId="23" fillId="12" borderId="42" xfId="0" applyFont="1" applyFill="1" applyBorder="1" applyAlignment="1" applyProtection="1">
      <alignment horizontal="center" vertical="center" wrapText="1"/>
    </xf>
    <xf numFmtId="0" fontId="0" fillId="12" borderId="44" xfId="0" applyFill="1" applyBorder="1" applyAlignment="1">
      <alignment horizontal="center" wrapText="1"/>
    </xf>
    <xf numFmtId="0" fontId="0" fillId="12" borderId="45" xfId="0" applyFill="1" applyBorder="1" applyAlignment="1">
      <alignment horizontal="center" wrapText="1"/>
    </xf>
    <xf numFmtId="0" fontId="11" fillId="0" borderId="0" xfId="0" applyFont="1" applyFill="1" applyBorder="1" applyAlignment="1" applyProtection="1">
      <alignment horizontal="left" vertical="top" wrapText="1"/>
    </xf>
    <xf numFmtId="0" fontId="11" fillId="0" borderId="57" xfId="0" applyFont="1" applyFill="1" applyBorder="1" applyAlignment="1" applyProtection="1">
      <alignment horizontal="left" vertical="top" wrapText="1"/>
    </xf>
    <xf numFmtId="2" fontId="39" fillId="2" borderId="7" xfId="0" applyNumberFormat="1" applyFont="1" applyFill="1" applyBorder="1" applyAlignment="1" applyProtection="1">
      <alignment horizontal="center" vertical="center" wrapText="1"/>
      <protection locked="0"/>
    </xf>
    <xf numFmtId="0" fontId="40" fillId="0" borderId="7" xfId="0" applyFont="1" applyBorder="1" applyAlignment="1" applyProtection="1">
      <alignment vertical="center"/>
      <protection locked="0"/>
    </xf>
    <xf numFmtId="0" fontId="40" fillId="0" borderId="47" xfId="0" applyFont="1" applyBorder="1" applyAlignment="1" applyProtection="1">
      <alignment vertical="center"/>
      <protection locked="0"/>
    </xf>
    <xf numFmtId="0" fontId="11" fillId="0" borderId="44" xfId="0" applyFont="1" applyBorder="1" applyAlignment="1" applyProtection="1">
      <alignment horizontal="center"/>
    </xf>
    <xf numFmtId="0" fontId="0" fillId="0" borderId="44" xfId="0" applyBorder="1" applyAlignment="1" applyProtection="1">
      <alignment horizontal="center"/>
    </xf>
    <xf numFmtId="0" fontId="11" fillId="12" borderId="29" xfId="0" applyFont="1" applyFill="1" applyBorder="1" applyAlignment="1" applyProtection="1">
      <alignment horizontal="center" vertical="center" wrapText="1"/>
    </xf>
    <xf numFmtId="0" fontId="11" fillId="12" borderId="30" xfId="0" applyFont="1" applyFill="1" applyBorder="1" applyAlignment="1" applyProtection="1">
      <alignment vertical="center" wrapText="1"/>
    </xf>
    <xf numFmtId="0" fontId="11" fillId="12" borderId="37" xfId="0" applyFont="1" applyFill="1" applyBorder="1" applyAlignment="1" applyProtection="1">
      <alignment vertical="center" wrapText="1"/>
    </xf>
    <xf numFmtId="0" fontId="11" fillId="12" borderId="45" xfId="0" applyFont="1" applyFill="1" applyBorder="1" applyAlignment="1" applyProtection="1">
      <alignment horizontal="center" vertical="center" wrapText="1"/>
    </xf>
    <xf numFmtId="0" fontId="12" fillId="12" borderId="60" xfId="0" applyFont="1" applyFill="1" applyBorder="1" applyAlignment="1" applyProtection="1">
      <alignment horizontal="center" vertical="center" wrapText="1"/>
    </xf>
    <xf numFmtId="0" fontId="12" fillId="12" borderId="59" xfId="0" applyFont="1" applyFill="1" applyBorder="1" applyAlignment="1" applyProtection="1">
      <alignment horizontal="center" vertical="center" wrapText="1"/>
    </xf>
    <xf numFmtId="2" fontId="20" fillId="0" borderId="46" xfId="0" applyNumberFormat="1" applyFont="1" applyFill="1" applyBorder="1" applyAlignment="1" applyProtection="1">
      <alignment horizontal="center" vertical="center"/>
    </xf>
    <xf numFmtId="2" fontId="20" fillId="0" borderId="47" xfId="0" applyNumberFormat="1" applyFont="1" applyFill="1" applyBorder="1" applyAlignment="1" applyProtection="1">
      <alignment horizontal="center" vertical="center"/>
    </xf>
    <xf numFmtId="0" fontId="12" fillId="12" borderId="48" xfId="0" applyFont="1" applyFill="1" applyBorder="1" applyAlignment="1" applyProtection="1">
      <alignment horizontal="center" vertical="center" wrapText="1"/>
    </xf>
    <xf numFmtId="0" fontId="12" fillId="12" borderId="7" xfId="0" applyFont="1" applyFill="1" applyBorder="1" applyAlignment="1" applyProtection="1"/>
    <xf numFmtId="0" fontId="12" fillId="12" borderId="47" xfId="0" applyFont="1" applyFill="1" applyBorder="1" applyAlignment="1" applyProtection="1"/>
    <xf numFmtId="0" fontId="11" fillId="5" borderId="44" xfId="0" applyFont="1" applyFill="1" applyBorder="1" applyAlignment="1" applyProtection="1">
      <alignment horizontal="left" wrapText="1"/>
    </xf>
    <xf numFmtId="0" fontId="0" fillId="0" borderId="44" xfId="0" applyBorder="1" applyAlignment="1">
      <alignment horizontal="left"/>
    </xf>
    <xf numFmtId="0" fontId="11" fillId="4" borderId="62" xfId="0" applyFont="1" applyFill="1" applyBorder="1" applyAlignment="1" applyProtection="1">
      <alignment horizontal="left" vertical="center" wrapText="1"/>
      <protection hidden="1"/>
    </xf>
    <xf numFmtId="0" fontId="11" fillId="4" borderId="9" xfId="0" applyFont="1" applyFill="1" applyBorder="1" applyAlignment="1" applyProtection="1">
      <alignment horizontal="left" vertical="center" wrapText="1"/>
      <protection hidden="1"/>
    </xf>
    <xf numFmtId="0" fontId="11" fillId="4" borderId="17" xfId="0" applyFont="1" applyFill="1" applyBorder="1" applyAlignment="1" applyProtection="1">
      <alignment horizontal="left" vertical="center" wrapText="1"/>
      <protection hidden="1"/>
    </xf>
    <xf numFmtId="0" fontId="11" fillId="0" borderId="62" xfId="0" applyFont="1" applyFill="1" applyBorder="1" applyAlignment="1" applyProtection="1">
      <alignment horizontal="left" vertical="center" wrapText="1"/>
      <protection hidden="1"/>
    </xf>
    <xf numFmtId="0" fontId="11" fillId="0" borderId="9" xfId="0" applyFont="1" applyFill="1" applyBorder="1" applyAlignment="1" applyProtection="1">
      <alignment horizontal="left" vertical="center" wrapText="1"/>
      <protection hidden="1"/>
    </xf>
    <xf numFmtId="0" fontId="11" fillId="0" borderId="17" xfId="0" applyFont="1" applyFill="1" applyBorder="1" applyAlignment="1" applyProtection="1">
      <alignment horizontal="left" vertical="center" wrapText="1"/>
      <protection hidden="1"/>
    </xf>
    <xf numFmtId="0" fontId="1" fillId="0" borderId="0" xfId="0" applyFont="1" applyBorder="1" applyAlignment="1" applyProtection="1">
      <alignment horizontal="right" vertical="center" wrapText="1"/>
    </xf>
    <xf numFmtId="0" fontId="1" fillId="0" borderId="0" xfId="0" applyFont="1" applyAlignment="1" applyProtection="1">
      <alignment horizontal="center" wrapText="1"/>
    </xf>
    <xf numFmtId="0" fontId="1" fillId="0" borderId="29" xfId="0" applyFont="1" applyBorder="1" applyAlignment="1" applyProtection="1">
      <alignment horizontal="center" vertical="center" wrapText="1"/>
    </xf>
    <xf numFmtId="0" fontId="1" fillId="0" borderId="37" xfId="0" applyFont="1" applyBorder="1" applyAlignment="1" applyProtection="1">
      <alignment horizontal="center" vertical="center" wrapText="1"/>
    </xf>
    <xf numFmtId="2" fontId="20" fillId="0" borderId="32" xfId="0" applyNumberFormat="1" applyFont="1" applyBorder="1" applyAlignment="1" applyProtection="1">
      <alignment horizontal="center" vertical="center"/>
    </xf>
    <xf numFmtId="0" fontId="59" fillId="0" borderId="60" xfId="0" applyFont="1" applyFill="1" applyBorder="1" applyAlignment="1" applyProtection="1">
      <alignment horizontal="left" vertical="top" wrapText="1"/>
    </xf>
    <xf numFmtId="0" fontId="60" fillId="0" borderId="0" xfId="0" applyFont="1" applyBorder="1" applyAlignment="1"/>
    <xf numFmtId="0" fontId="60" fillId="0" borderId="60" xfId="0" applyFont="1" applyBorder="1" applyAlignment="1"/>
    <xf numFmtId="3" fontId="12" fillId="12" borderId="4" xfId="0" applyNumberFormat="1" applyFont="1" applyFill="1" applyBorder="1" applyAlignment="1" applyProtection="1">
      <alignment horizontal="center" vertical="center" wrapText="1"/>
    </xf>
    <xf numFmtId="3" fontId="12" fillId="12" borderId="68" xfId="0" applyNumberFormat="1" applyFont="1" applyFill="1" applyBorder="1" applyAlignment="1" applyProtection="1">
      <alignment horizontal="center" vertical="center" wrapText="1"/>
    </xf>
    <xf numFmtId="0" fontId="0" fillId="11" borderId="42" xfId="0" applyFill="1" applyBorder="1" applyAlignment="1" applyProtection="1">
      <alignment horizontal="center" vertical="center" wrapText="1"/>
    </xf>
    <xf numFmtId="0" fontId="0" fillId="11" borderId="44" xfId="0" applyFill="1" applyBorder="1" applyAlignment="1" applyProtection="1">
      <alignment horizontal="center" vertical="center" wrapText="1"/>
    </xf>
    <xf numFmtId="0" fontId="0" fillId="0" borderId="0" xfId="0" applyBorder="1" applyAlignment="1">
      <alignment horizontal="left" wrapText="1"/>
    </xf>
    <xf numFmtId="0" fontId="0" fillId="0" borderId="57" xfId="0" applyBorder="1" applyAlignment="1">
      <alignment horizontal="left" wrapText="1"/>
    </xf>
    <xf numFmtId="0" fontId="11" fillId="0" borderId="0" xfId="0" applyFont="1" applyBorder="1" applyAlignment="1" applyProtection="1">
      <alignment horizontal="left"/>
    </xf>
    <xf numFmtId="0" fontId="0" fillId="0" borderId="0" xfId="0" applyBorder="1" applyAlignment="1"/>
    <xf numFmtId="0" fontId="0" fillId="0" borderId="57" xfId="0" applyBorder="1" applyAlignment="1"/>
    <xf numFmtId="0" fontId="12" fillId="12" borderId="29" xfId="0" applyFont="1" applyFill="1" applyBorder="1" applyAlignment="1" applyProtection="1">
      <alignment horizontal="center"/>
    </xf>
    <xf numFmtId="0" fontId="12" fillId="12" borderId="30" xfId="0" applyFont="1" applyFill="1" applyBorder="1" applyAlignment="1" applyProtection="1">
      <alignment horizontal="center"/>
    </xf>
    <xf numFmtId="0" fontId="12" fillId="12" borderId="37" xfId="0" applyFont="1" applyFill="1" applyBorder="1" applyAlignment="1" applyProtection="1">
      <alignment horizontal="center"/>
    </xf>
    <xf numFmtId="0" fontId="1" fillId="11" borderId="42" xfId="0" applyFont="1" applyFill="1" applyBorder="1" applyAlignment="1" applyProtection="1">
      <alignment horizontal="center" vertical="center" wrapText="1"/>
    </xf>
    <xf numFmtId="0" fontId="1" fillId="0" borderId="55" xfId="0" applyFont="1" applyBorder="1" applyAlignment="1" applyProtection="1">
      <alignment horizontal="left" vertical="center" wrapText="1"/>
    </xf>
    <xf numFmtId="0" fontId="1" fillId="0" borderId="69" xfId="0" applyFont="1" applyBorder="1" applyAlignment="1" applyProtection="1">
      <alignment horizontal="left" vertical="center" wrapText="1"/>
    </xf>
    <xf numFmtId="0" fontId="11" fillId="4" borderId="34" xfId="0" applyFont="1" applyFill="1" applyBorder="1" applyAlignment="1" applyProtection="1">
      <alignment horizontal="left" vertical="center" wrapText="1"/>
      <protection hidden="1"/>
    </xf>
    <xf numFmtId="0" fontId="11" fillId="4" borderId="32" xfId="0" applyFont="1" applyFill="1" applyBorder="1" applyAlignment="1" applyProtection="1">
      <alignment horizontal="left" vertical="center" wrapText="1"/>
      <protection hidden="1"/>
    </xf>
    <xf numFmtId="0" fontId="11" fillId="4" borderId="68" xfId="0" applyFont="1" applyFill="1" applyBorder="1" applyAlignment="1" applyProtection="1">
      <alignment horizontal="left" vertical="center" wrapText="1"/>
      <protection hidden="1"/>
    </xf>
    <xf numFmtId="3" fontId="12" fillId="12" borderId="38" xfId="0" applyNumberFormat="1" applyFont="1" applyFill="1" applyBorder="1" applyAlignment="1" applyProtection="1">
      <alignment horizontal="center" vertical="center" wrapText="1"/>
    </xf>
    <xf numFmtId="3" fontId="12" fillId="12" borderId="39" xfId="0" applyNumberFormat="1" applyFont="1" applyFill="1" applyBorder="1" applyAlignment="1" applyProtection="1">
      <alignment horizontal="center" vertical="center" wrapText="1"/>
    </xf>
    <xf numFmtId="3" fontId="12" fillId="12" borderId="31" xfId="0" applyNumberFormat="1" applyFont="1" applyFill="1" applyBorder="1" applyAlignment="1" applyProtection="1">
      <alignment horizontal="center" vertical="center" wrapText="1"/>
    </xf>
    <xf numFmtId="3" fontId="12" fillId="12" borderId="41" xfId="0" applyNumberFormat="1" applyFont="1" applyFill="1" applyBorder="1" applyAlignment="1" applyProtection="1">
      <alignment horizontal="center" vertical="center" wrapText="1"/>
    </xf>
    <xf numFmtId="0" fontId="12" fillId="5" borderId="0" xfId="0" applyFont="1" applyFill="1" applyBorder="1" applyAlignment="1" applyProtection="1">
      <alignment horizontal="left" vertical="top" wrapText="1"/>
    </xf>
    <xf numFmtId="0" fontId="11" fillId="0" borderId="34" xfId="0" applyFont="1" applyFill="1" applyBorder="1" applyAlignment="1" applyProtection="1">
      <alignment horizontal="left" vertical="center" wrapText="1"/>
      <protection hidden="1"/>
    </xf>
    <xf numFmtId="0" fontId="11" fillId="0" borderId="32" xfId="0" applyFont="1" applyFill="1" applyBorder="1" applyAlignment="1" applyProtection="1">
      <alignment horizontal="left" vertical="center" wrapText="1"/>
      <protection hidden="1"/>
    </xf>
    <xf numFmtId="0" fontId="11" fillId="0" borderId="68" xfId="0" applyFont="1" applyFill="1" applyBorder="1" applyAlignment="1" applyProtection="1">
      <alignment horizontal="left" vertical="center" wrapText="1"/>
      <protection hidden="1"/>
    </xf>
    <xf numFmtId="3" fontId="12" fillId="12" borderId="70" xfId="0" applyNumberFormat="1" applyFont="1" applyFill="1" applyBorder="1" applyAlignment="1" applyProtection="1">
      <alignment horizontal="center" vertical="center" wrapText="1"/>
      <protection hidden="1"/>
    </xf>
    <xf numFmtId="0" fontId="0" fillId="0" borderId="71" xfId="0" applyBorder="1" applyAlignment="1" applyProtection="1">
      <alignment horizontal="center" vertical="center" wrapText="1"/>
    </xf>
    <xf numFmtId="0" fontId="11" fillId="4" borderId="74" xfId="0" applyFont="1" applyFill="1" applyBorder="1" applyAlignment="1" applyProtection="1">
      <alignment horizontal="left" vertical="center" wrapText="1"/>
      <protection hidden="1"/>
    </xf>
    <xf numFmtId="0" fontId="11" fillId="4" borderId="20" xfId="0" applyFont="1" applyFill="1" applyBorder="1" applyAlignment="1" applyProtection="1">
      <alignment horizontal="left" vertical="center" wrapText="1"/>
      <protection hidden="1"/>
    </xf>
    <xf numFmtId="0" fontId="11" fillId="4" borderId="67" xfId="0" applyFont="1" applyFill="1" applyBorder="1" applyAlignment="1" applyProtection="1">
      <alignment horizontal="left" vertical="center" wrapText="1"/>
      <protection hidden="1"/>
    </xf>
    <xf numFmtId="0" fontId="39" fillId="2" borderId="4" xfId="0" applyFont="1" applyFill="1" applyBorder="1" applyAlignment="1" applyProtection="1">
      <alignment horizontal="left" vertical="center"/>
      <protection locked="0"/>
    </xf>
    <xf numFmtId="0" fontId="0" fillId="0" borderId="32" xfId="0" applyBorder="1" applyAlignment="1" applyProtection="1">
      <protection locked="0"/>
    </xf>
    <xf numFmtId="0" fontId="0" fillId="0" borderId="35" xfId="0" applyBorder="1" applyAlignment="1" applyProtection="1">
      <protection locked="0"/>
    </xf>
    <xf numFmtId="0" fontId="39" fillId="2" borderId="4" xfId="0" applyFont="1" applyFill="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11" fillId="12" borderId="42" xfId="0" applyFont="1" applyFill="1" applyBorder="1" applyAlignment="1" applyProtection="1">
      <alignment horizontal="center" vertical="center"/>
    </xf>
    <xf numFmtId="0" fontId="0" fillId="0" borderId="44" xfId="0" applyBorder="1" applyAlignment="1">
      <alignment horizontal="center"/>
    </xf>
    <xf numFmtId="0" fontId="0" fillId="0" borderId="45" xfId="0" applyBorder="1" applyAlignment="1">
      <alignment horizontal="center"/>
    </xf>
    <xf numFmtId="0" fontId="0" fillId="0" borderId="0" xfId="0" applyBorder="1" applyAlignment="1" applyProtection="1">
      <alignment wrapText="1"/>
    </xf>
    <xf numFmtId="0" fontId="12" fillId="12" borderId="50" xfId="0" applyFont="1" applyFill="1" applyBorder="1" applyAlignment="1" applyProtection="1">
      <alignment horizontal="left" vertical="center" wrapText="1"/>
    </xf>
    <xf numFmtId="0" fontId="0" fillId="0" borderId="45" xfId="0" applyBorder="1" applyAlignment="1">
      <alignment vertical="center"/>
    </xf>
    <xf numFmtId="165" fontId="39" fillId="2" borderId="42" xfId="0" applyNumberFormat="1" applyFont="1" applyFill="1" applyBorder="1" applyAlignment="1" applyProtection="1">
      <alignment horizontal="center" vertical="center"/>
      <protection locked="0"/>
    </xf>
    <xf numFmtId="165" fontId="39" fillId="2" borderId="45" xfId="0" applyNumberFormat="1" applyFont="1" applyFill="1" applyBorder="1" applyAlignment="1" applyProtection="1">
      <alignment horizontal="center" vertical="center"/>
      <protection locked="0"/>
    </xf>
    <xf numFmtId="0" fontId="12" fillId="12" borderId="38" xfId="0" applyFont="1" applyFill="1" applyBorder="1" applyAlignment="1" applyProtection="1">
      <alignment horizontal="center" vertical="center" wrapText="1"/>
    </xf>
    <xf numFmtId="0" fontId="0" fillId="0" borderId="21" xfId="0" applyBorder="1" applyAlignment="1"/>
    <xf numFmtId="0" fontId="0" fillId="0" borderId="39" xfId="0" applyBorder="1" applyAlignment="1"/>
    <xf numFmtId="0" fontId="0" fillId="0" borderId="46" xfId="0" applyBorder="1" applyAlignment="1"/>
    <xf numFmtId="0" fontId="0" fillId="0" borderId="7" xfId="0" applyBorder="1" applyAlignment="1"/>
    <xf numFmtId="0" fontId="0" fillId="0" borderId="47" xfId="0" applyBorder="1" applyAlignment="1"/>
    <xf numFmtId="0" fontId="0" fillId="0" borderId="21" xfId="0" applyBorder="1" applyAlignment="1">
      <alignment horizontal="center" vertical="center"/>
    </xf>
    <xf numFmtId="0" fontId="0" fillId="0" borderId="39" xfId="0" applyBorder="1" applyAlignment="1">
      <alignment horizontal="center" vertical="center"/>
    </xf>
    <xf numFmtId="0" fontId="0" fillId="0" borderId="60" xfId="0" applyBorder="1" applyAlignment="1">
      <alignment horizontal="center" vertical="center"/>
    </xf>
    <xf numFmtId="0" fontId="0" fillId="0" borderId="0" xfId="0"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1" fontId="21" fillId="12" borderId="38" xfId="0" applyNumberFormat="1" applyFont="1" applyFill="1" applyBorder="1" applyAlignment="1" applyProtection="1">
      <alignment horizontal="center"/>
    </xf>
    <xf numFmtId="1" fontId="21" fillId="12" borderId="21" xfId="0" applyNumberFormat="1" applyFont="1" applyFill="1" applyBorder="1" applyAlignment="1" applyProtection="1">
      <alignment horizontal="center"/>
    </xf>
    <xf numFmtId="1" fontId="21" fillId="12" borderId="39" xfId="0" applyNumberFormat="1" applyFont="1" applyFill="1" applyBorder="1" applyAlignment="1" applyProtection="1">
      <alignment horizontal="center"/>
    </xf>
    <xf numFmtId="1" fontId="8" fillId="12" borderId="46" xfId="0" applyNumberFormat="1" applyFont="1" applyFill="1" applyBorder="1" applyAlignment="1" applyProtection="1">
      <alignment horizontal="center" vertical="top"/>
    </xf>
    <xf numFmtId="1" fontId="8" fillId="12" borderId="7" xfId="0" applyNumberFormat="1" applyFont="1" applyFill="1" applyBorder="1" applyAlignment="1" applyProtection="1">
      <alignment horizontal="center" vertical="top"/>
    </xf>
    <xf numFmtId="1" fontId="8" fillId="12" borderId="47" xfId="0" applyNumberFormat="1" applyFont="1" applyFill="1" applyBorder="1" applyAlignment="1" applyProtection="1">
      <alignment horizontal="center" vertical="top"/>
    </xf>
    <xf numFmtId="0" fontId="1" fillId="0" borderId="0" xfId="0" applyFont="1" applyBorder="1" applyAlignment="1" applyProtection="1">
      <alignment vertical="center" wrapText="1"/>
    </xf>
    <xf numFmtId="0" fontId="1" fillId="0" borderId="0" xfId="0" applyFont="1" applyAlignment="1">
      <alignment vertical="center" wrapText="1"/>
    </xf>
    <xf numFmtId="0" fontId="1" fillId="0" borderId="38" xfId="0" applyFont="1" applyBorder="1" applyAlignment="1" applyProtection="1">
      <alignment horizontal="center"/>
    </xf>
    <xf numFmtId="0" fontId="1" fillId="0" borderId="21" xfId="0" applyFont="1" applyBorder="1" applyAlignment="1" applyProtection="1">
      <alignment horizontal="center"/>
    </xf>
    <xf numFmtId="0" fontId="1" fillId="0" borderId="39" xfId="0" applyFont="1" applyBorder="1" applyAlignment="1" applyProtection="1">
      <alignment horizontal="center"/>
    </xf>
    <xf numFmtId="0" fontId="0" fillId="0" borderId="72" xfId="0" applyBorder="1" applyAlignment="1" applyProtection="1">
      <alignment horizontal="center" wrapText="1"/>
    </xf>
    <xf numFmtId="3" fontId="0" fillId="4" borderId="29" xfId="0" applyNumberFormat="1" applyFill="1" applyBorder="1" applyAlignment="1" applyProtection="1">
      <alignment horizontal="center" vertical="center"/>
    </xf>
    <xf numFmtId="3" fontId="0" fillId="4" borderId="30" xfId="0" applyNumberFormat="1" applyFill="1" applyBorder="1" applyAlignment="1" applyProtection="1">
      <alignment horizontal="center" vertical="center"/>
    </xf>
    <xf numFmtId="3" fontId="0" fillId="4" borderId="33"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1" fillId="0" borderId="57" xfId="0" applyFont="1" applyFill="1" applyBorder="1" applyAlignment="1" applyProtection="1">
      <alignment horizontal="center" vertical="center" wrapText="1"/>
    </xf>
    <xf numFmtId="0" fontId="0" fillId="4" borderId="32" xfId="0" applyFill="1" applyBorder="1" applyAlignment="1" applyProtection="1">
      <alignment vertical="center"/>
    </xf>
    <xf numFmtId="0" fontId="0" fillId="4" borderId="68" xfId="0" applyFill="1" applyBorder="1" applyAlignment="1" applyProtection="1">
      <alignment vertical="center"/>
    </xf>
    <xf numFmtId="2" fontId="0" fillId="0" borderId="50" xfId="0" applyNumberFormat="1" applyBorder="1" applyAlignment="1" applyProtection="1">
      <alignment horizontal="center"/>
    </xf>
    <xf numFmtId="2" fontId="0" fillId="0" borderId="43" xfId="0" applyNumberFormat="1" applyBorder="1" applyAlignment="1" applyProtection="1">
      <alignment horizontal="center"/>
    </xf>
    <xf numFmtId="172" fontId="12" fillId="0" borderId="50" xfId="3" applyNumberFormat="1" applyFont="1" applyBorder="1" applyAlignment="1" applyProtection="1">
      <alignment horizontal="center"/>
    </xf>
    <xf numFmtId="172" fontId="12" fillId="0" borderId="45" xfId="3" applyNumberFormat="1" applyFont="1" applyBorder="1" applyAlignment="1" applyProtection="1">
      <alignment horizontal="center"/>
    </xf>
    <xf numFmtId="0" fontId="1" fillId="4" borderId="50" xfId="0" applyFont="1" applyFill="1" applyBorder="1" applyAlignment="1" applyProtection="1">
      <alignment horizontal="center" wrapText="1"/>
    </xf>
    <xf numFmtId="0" fontId="0" fillId="0" borderId="43" xfId="0" applyBorder="1" applyAlignment="1" applyProtection="1">
      <alignment horizontal="center" wrapText="1"/>
    </xf>
    <xf numFmtId="0" fontId="0" fillId="0" borderId="44" xfId="0" applyBorder="1" applyAlignment="1" applyProtection="1">
      <alignment horizontal="center" vertical="center" wrapText="1"/>
    </xf>
    <xf numFmtId="0" fontId="0" fillId="0" borderId="45" xfId="0" applyBorder="1" applyAlignment="1" applyProtection="1">
      <alignment horizontal="center" vertical="center" wrapText="1"/>
    </xf>
    <xf numFmtId="2" fontId="0" fillId="0" borderId="4" xfId="0" applyNumberFormat="1" applyBorder="1" applyAlignment="1" applyProtection="1">
      <alignment horizontal="center"/>
    </xf>
    <xf numFmtId="2" fontId="0" fillId="0" borderId="35" xfId="0" applyNumberFormat="1" applyBorder="1" applyAlignment="1" applyProtection="1">
      <alignment horizontal="center"/>
    </xf>
    <xf numFmtId="172" fontId="12" fillId="0" borderId="4" xfId="3" applyNumberFormat="1" applyFont="1" applyBorder="1" applyAlignment="1" applyProtection="1">
      <alignment horizontal="center"/>
    </xf>
    <xf numFmtId="172" fontId="12" fillId="0" borderId="68" xfId="3" applyNumberFormat="1" applyFont="1" applyBorder="1" applyAlignment="1" applyProtection="1">
      <alignment horizontal="center"/>
    </xf>
    <xf numFmtId="2" fontId="0" fillId="0" borderId="6" xfId="0" applyNumberFormat="1" applyBorder="1" applyAlignment="1" applyProtection="1">
      <alignment horizontal="center"/>
    </xf>
    <xf numFmtId="2" fontId="0" fillId="0" borderId="61" xfId="0" applyNumberFormat="1" applyBorder="1" applyAlignment="1" applyProtection="1">
      <alignment horizontal="center"/>
    </xf>
    <xf numFmtId="172" fontId="12" fillId="0" borderId="6" xfId="3" applyNumberFormat="1" applyFont="1" applyBorder="1" applyAlignment="1" applyProtection="1">
      <alignment horizontal="center"/>
    </xf>
    <xf numFmtId="172" fontId="12" fillId="0" borderId="67" xfId="3" applyNumberFormat="1" applyFont="1" applyBorder="1" applyAlignment="1" applyProtection="1">
      <alignment horizontal="center"/>
    </xf>
    <xf numFmtId="0" fontId="1" fillId="4" borderId="45" xfId="0" applyFont="1" applyFill="1" applyBorder="1" applyAlignment="1" applyProtection="1">
      <alignment horizontal="center" wrapText="1"/>
    </xf>
    <xf numFmtId="0" fontId="1" fillId="4" borderId="43" xfId="0" applyFont="1" applyFill="1" applyBorder="1" applyAlignment="1" applyProtection="1">
      <alignment horizontal="center" wrapText="1"/>
    </xf>
    <xf numFmtId="2" fontId="0" fillId="0" borderId="2" xfId="0" applyNumberFormat="1" applyBorder="1" applyAlignment="1" applyProtection="1">
      <alignment horizontal="center"/>
    </xf>
    <xf numFmtId="2" fontId="0" fillId="0" borderId="33" xfId="0" applyNumberFormat="1" applyBorder="1" applyAlignment="1" applyProtection="1">
      <alignment horizontal="center"/>
    </xf>
    <xf numFmtId="172" fontId="12" fillId="0" borderId="2" xfId="3" applyNumberFormat="1" applyFont="1" applyBorder="1" applyAlignment="1" applyProtection="1">
      <alignment horizontal="center"/>
    </xf>
    <xf numFmtId="172" fontId="12" fillId="0" borderId="37" xfId="3" applyNumberFormat="1" applyFont="1" applyBorder="1" applyAlignment="1" applyProtection="1">
      <alignment horizontal="center"/>
    </xf>
    <xf numFmtId="0" fontId="0" fillId="4" borderId="11" xfId="0" applyFill="1" applyBorder="1" applyAlignment="1" applyProtection="1">
      <alignment horizontal="center"/>
    </xf>
    <xf numFmtId="0" fontId="0" fillId="4" borderId="1" xfId="0" applyFill="1" applyBorder="1" applyAlignment="1" applyProtection="1">
      <alignment horizontal="center"/>
    </xf>
    <xf numFmtId="0" fontId="0" fillId="4" borderId="12" xfId="0" applyFill="1" applyBorder="1" applyAlignment="1" applyProtection="1">
      <alignment horizontal="center"/>
    </xf>
    <xf numFmtId="0" fontId="0" fillId="0" borderId="7" xfId="0" applyBorder="1" applyAlignment="1" applyProtection="1"/>
    <xf numFmtId="0" fontId="0" fillId="13" borderId="70" xfId="0" applyFill="1" applyBorder="1" applyAlignment="1" applyProtection="1">
      <alignment horizontal="center" vertical="center"/>
    </xf>
    <xf numFmtId="0" fontId="0" fillId="13" borderId="8" xfId="0" applyFill="1" applyBorder="1" applyAlignment="1" applyProtection="1">
      <alignment horizontal="center" vertical="center"/>
    </xf>
    <xf numFmtId="2" fontId="0" fillId="13" borderId="2" xfId="0" applyNumberFormat="1" applyFill="1" applyBorder="1" applyAlignment="1" applyProtection="1">
      <alignment horizontal="center"/>
    </xf>
    <xf numFmtId="2" fontId="0" fillId="13" borderId="33" xfId="0" applyNumberFormat="1" applyFill="1" applyBorder="1" applyAlignment="1" applyProtection="1">
      <alignment horizontal="center"/>
    </xf>
    <xf numFmtId="172" fontId="12" fillId="13" borderId="2" xfId="3" applyNumberFormat="1" applyFont="1" applyFill="1" applyBorder="1" applyAlignment="1" applyProtection="1">
      <alignment horizontal="center"/>
    </xf>
    <xf numFmtId="172" fontId="12" fillId="13" borderId="37" xfId="3" applyNumberFormat="1" applyFont="1" applyFill="1" applyBorder="1" applyAlignment="1" applyProtection="1">
      <alignment horizontal="center"/>
    </xf>
    <xf numFmtId="2" fontId="0" fillId="13" borderId="55" xfId="0" applyNumberFormat="1" applyFill="1" applyBorder="1" applyAlignment="1" applyProtection="1">
      <alignment horizontal="center"/>
    </xf>
    <xf numFmtId="2" fontId="0" fillId="13" borderId="69" xfId="0" applyNumberFormat="1" applyFill="1" applyBorder="1" applyAlignment="1" applyProtection="1">
      <alignment horizontal="center"/>
    </xf>
    <xf numFmtId="172" fontId="12" fillId="13" borderId="6" xfId="3" applyNumberFormat="1" applyFont="1" applyFill="1" applyBorder="1" applyAlignment="1" applyProtection="1">
      <alignment horizontal="center"/>
    </xf>
    <xf numFmtId="172" fontId="12" fillId="13" borderId="67" xfId="3" applyNumberFormat="1" applyFont="1" applyFill="1" applyBorder="1" applyAlignment="1" applyProtection="1">
      <alignment horizontal="center"/>
    </xf>
    <xf numFmtId="0" fontId="0" fillId="0" borderId="70" xfId="0" applyBorder="1" applyAlignment="1" applyProtection="1">
      <alignment horizontal="center" vertical="center"/>
    </xf>
    <xf numFmtId="0" fontId="0" fillId="0" borderId="76" xfId="0" applyBorder="1" applyAlignment="1" applyProtection="1">
      <alignment horizontal="center" vertical="center"/>
    </xf>
    <xf numFmtId="0" fontId="0" fillId="0" borderId="8" xfId="0" applyBorder="1" applyAlignment="1" applyProtection="1">
      <alignment horizontal="center" vertical="center"/>
    </xf>
    <xf numFmtId="0" fontId="1" fillId="4" borderId="44" xfId="0" applyFont="1" applyFill="1" applyBorder="1" applyAlignment="1" applyProtection="1">
      <alignment horizontal="center" vertical="center" wrapText="1"/>
    </xf>
    <xf numFmtId="0" fontId="1" fillId="4" borderId="45" xfId="0" applyFont="1" applyFill="1" applyBorder="1" applyAlignment="1" applyProtection="1">
      <alignment horizontal="center" vertical="center" wrapText="1"/>
    </xf>
  </cellXfs>
  <cellStyles count="4">
    <cellStyle name="Comma" xfId="2" builtinId="3"/>
    <cellStyle name="Currency" xfId="3" builtinId="4"/>
    <cellStyle name="Hyperlink" xfId="1" builtinId="8"/>
    <cellStyle name="Normal" xfId="0" builtinId="0"/>
  </cellStyles>
  <dxfs count="147">
    <dxf>
      <font>
        <b/>
        <i val="0"/>
      </font>
      <fill>
        <patternFill>
          <bgColor theme="6" tint="0.59996337778862885"/>
        </patternFill>
      </fill>
    </dxf>
    <dxf>
      <fill>
        <patternFill>
          <bgColor theme="6" tint="0.59996337778862885"/>
        </patternFill>
      </fill>
    </dxf>
    <dxf>
      <font>
        <b/>
        <i val="0"/>
      </font>
    </dxf>
    <dxf>
      <fill>
        <patternFill>
          <bgColor theme="6" tint="0.59996337778862885"/>
        </patternFill>
      </fill>
    </dxf>
    <dxf>
      <font>
        <b/>
        <i val="0"/>
      </font>
    </dxf>
    <dxf>
      <fill>
        <patternFill>
          <bgColor theme="6" tint="0.59996337778862885"/>
        </patternFill>
      </fill>
    </dxf>
    <dxf>
      <font>
        <b/>
        <i val="0"/>
      </font>
    </dxf>
    <dxf>
      <fill>
        <patternFill>
          <bgColor theme="6" tint="0.59996337778862885"/>
        </patternFill>
      </fill>
    </dxf>
    <dxf>
      <fill>
        <patternFill>
          <bgColor theme="6" tint="0.59996337778862885"/>
        </patternFill>
      </fill>
    </dxf>
    <dxf>
      <font>
        <b/>
        <i val="0"/>
      </font>
    </dxf>
    <dxf>
      <fill>
        <patternFill>
          <bgColor rgb="FFFFFF00"/>
        </patternFill>
      </fill>
    </dxf>
    <dxf>
      <fill>
        <patternFill>
          <bgColor rgb="FFFFC000"/>
        </patternFill>
      </fill>
    </dxf>
    <dxf>
      <fill>
        <patternFill>
          <bgColor rgb="FFFF505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5050"/>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numFmt numFmtId="164" formatCode="0.0"/>
    </dxf>
    <dxf>
      <font>
        <b/>
        <i val="0"/>
      </font>
      <fill>
        <patternFill>
          <bgColor theme="6" tint="0.39994506668294322"/>
        </patternFill>
      </fill>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numFmt numFmtId="164" formatCode="0.0"/>
    </dxf>
    <dxf>
      <fill>
        <patternFill>
          <bgColor theme="6" tint="0.39994506668294322"/>
        </patternFill>
      </fill>
    </dxf>
    <dxf>
      <fill>
        <patternFill>
          <bgColor theme="6" tint="0.39994506668294322"/>
        </patternFill>
      </fill>
    </dxf>
    <dxf>
      <font>
        <b/>
        <i val="0"/>
      </font>
      <fill>
        <patternFill>
          <bgColor theme="6" tint="0.39994506668294322"/>
        </patternFill>
      </fill>
    </dxf>
    <dxf>
      <numFmt numFmtId="164" formatCode="0.0"/>
    </dxf>
    <dxf>
      <numFmt numFmtId="164" formatCode="0.0"/>
    </dxf>
    <dxf>
      <numFmt numFmtId="1" formatCode="0"/>
    </dxf>
    <dxf>
      <numFmt numFmtId="3" formatCode="#,##0"/>
    </dxf>
    <dxf>
      <numFmt numFmtId="164" formatCode="0.0"/>
    </dxf>
    <dxf>
      <font>
        <color auto="1"/>
      </font>
      <fill>
        <patternFill>
          <bgColor rgb="FFFF5050"/>
        </patternFill>
      </fill>
    </dxf>
  </dxfs>
  <tableStyles count="0" defaultTableStyle="TableStyleMedium2" defaultPivotStyle="PivotStyleLight16"/>
  <colors>
    <mruColors>
      <color rgb="FFFFFFA7"/>
      <color rgb="FF0000FF"/>
      <color rgb="FFFF5050"/>
      <color rgb="FFE6AF00"/>
      <color rgb="FF0036A2"/>
      <color rgb="FF050C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96</xdr:col>
      <xdr:colOff>92604</xdr:colOff>
      <xdr:row>32</xdr:row>
      <xdr:rowOff>353785</xdr:rowOff>
    </xdr:from>
    <xdr:to>
      <xdr:col>96</xdr:col>
      <xdr:colOff>571499</xdr:colOff>
      <xdr:row>36</xdr:row>
      <xdr:rowOff>136071</xdr:rowOff>
    </xdr:to>
    <xdr:sp macro="" textlink="">
      <xdr:nvSpPr>
        <xdr:cNvPr id="14" name="Left Brace 13">
          <a:extLst>
            <a:ext uri="{FF2B5EF4-FFF2-40B4-BE49-F238E27FC236}">
              <a16:creationId xmlns:a16="http://schemas.microsoft.com/office/drawing/2014/main" id="{00000000-0008-0000-0100-00000E000000}"/>
            </a:ext>
          </a:extLst>
        </xdr:cNvPr>
        <xdr:cNvSpPr/>
      </xdr:nvSpPr>
      <xdr:spPr>
        <a:xfrm>
          <a:off x="10529283" y="10899321"/>
          <a:ext cx="478895" cy="1143000"/>
        </a:xfrm>
        <a:prstGeom prst="leftBrace">
          <a:avLst>
            <a:gd name="adj1" fmla="val 8333"/>
            <a:gd name="adj2" fmla="val 21173"/>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96</xdr:col>
      <xdr:colOff>136070</xdr:colOff>
      <xdr:row>38</xdr:row>
      <xdr:rowOff>27214</xdr:rowOff>
    </xdr:from>
    <xdr:to>
      <xdr:col>96</xdr:col>
      <xdr:colOff>557892</xdr:colOff>
      <xdr:row>38</xdr:row>
      <xdr:rowOff>340179</xdr:rowOff>
    </xdr:to>
    <xdr:sp macro="" textlink="">
      <xdr:nvSpPr>
        <xdr:cNvPr id="16" name="Left Brace 15">
          <a:extLst>
            <a:ext uri="{FF2B5EF4-FFF2-40B4-BE49-F238E27FC236}">
              <a16:creationId xmlns:a16="http://schemas.microsoft.com/office/drawing/2014/main" id="{00000000-0008-0000-0100-000010000000}"/>
            </a:ext>
          </a:extLst>
        </xdr:cNvPr>
        <xdr:cNvSpPr/>
      </xdr:nvSpPr>
      <xdr:spPr>
        <a:xfrm>
          <a:off x="10572749" y="12504964"/>
          <a:ext cx="421822" cy="312965"/>
        </a:xfrm>
        <a:prstGeom prst="leftBrace">
          <a:avLst>
            <a:gd name="adj1" fmla="val 8333"/>
            <a:gd name="adj2" fmla="val 51069"/>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7620</xdr:colOff>
      <xdr:row>39</xdr:row>
      <xdr:rowOff>182880</xdr:rowOff>
    </xdr:from>
    <xdr:to>
      <xdr:col>5</xdr:col>
      <xdr:colOff>274320</xdr:colOff>
      <xdr:row>40</xdr:row>
      <xdr:rowOff>220980</xdr:rowOff>
    </xdr:to>
    <xdr:cxnSp macro="">
      <xdr:nvCxnSpPr>
        <xdr:cNvPr id="31" name="Elbow Connector 30">
          <a:extLst>
            <a:ext uri="{FF2B5EF4-FFF2-40B4-BE49-F238E27FC236}">
              <a16:creationId xmlns:a16="http://schemas.microsoft.com/office/drawing/2014/main" id="{00000000-0008-0000-0100-00001F000000}"/>
            </a:ext>
          </a:extLst>
        </xdr:cNvPr>
        <xdr:cNvCxnSpPr/>
      </xdr:nvCxnSpPr>
      <xdr:spPr>
        <a:xfrm rot="10800000" flipV="1">
          <a:off x="1211580" y="11932920"/>
          <a:ext cx="1958340" cy="388620"/>
        </a:xfrm>
        <a:prstGeom prst="bentConnector3">
          <a:avLst>
            <a:gd name="adj1" fmla="val 70428"/>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41276</xdr:colOff>
      <xdr:row>11</xdr:row>
      <xdr:rowOff>186495</xdr:rowOff>
    </xdr:from>
    <xdr:to>
      <xdr:col>100</xdr:col>
      <xdr:colOff>685068</xdr:colOff>
      <xdr:row>22</xdr:row>
      <xdr:rowOff>166133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1123"/>
        <a:stretch/>
      </xdr:blipFill>
      <xdr:spPr>
        <a:xfrm>
          <a:off x="8677276" y="3297995"/>
          <a:ext cx="5451475" cy="3952051"/>
        </a:xfrm>
        <a:prstGeom prst="rect">
          <a:avLst/>
        </a:prstGeom>
      </xdr:spPr>
    </xdr:pic>
    <xdr:clientData/>
  </xdr:twoCellAnchor>
  <xdr:twoCellAnchor>
    <xdr:from>
      <xdr:col>11</xdr:col>
      <xdr:colOff>88900</xdr:colOff>
      <xdr:row>40</xdr:row>
      <xdr:rowOff>6350</xdr:rowOff>
    </xdr:from>
    <xdr:to>
      <xdr:col>92</xdr:col>
      <xdr:colOff>6350</xdr:colOff>
      <xdr:row>46</xdr:row>
      <xdr:rowOff>0</xdr:rowOff>
    </xdr:to>
    <xdr:cxnSp macro="">
      <xdr:nvCxnSpPr>
        <xdr:cNvPr id="26" name="AutoShape 15">
          <a:extLst>
            <a:ext uri="{FF2B5EF4-FFF2-40B4-BE49-F238E27FC236}">
              <a16:creationId xmlns:a16="http://schemas.microsoft.com/office/drawing/2014/main" id="{00000000-0008-0000-0100-00001A000000}"/>
            </a:ext>
          </a:extLst>
        </xdr:cNvPr>
        <xdr:cNvCxnSpPr>
          <a:cxnSpLocks noChangeShapeType="1"/>
        </xdr:cNvCxnSpPr>
      </xdr:nvCxnSpPr>
      <xdr:spPr bwMode="auto">
        <a:xfrm flipH="1">
          <a:off x="7200900" y="13220700"/>
          <a:ext cx="234950" cy="1670050"/>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96</xdr:col>
      <xdr:colOff>60960</xdr:colOff>
      <xdr:row>4</xdr:row>
      <xdr:rowOff>40640</xdr:rowOff>
    </xdr:from>
    <xdr:to>
      <xdr:col>97</xdr:col>
      <xdr:colOff>599440</xdr:colOff>
      <xdr:row>4</xdr:row>
      <xdr:rowOff>325120</xdr:rowOff>
    </xdr:to>
    <xdr:sp macro="" textlink="">
      <xdr:nvSpPr>
        <xdr:cNvPr id="20" name="Left Brace 19">
          <a:extLst>
            <a:ext uri="{FF2B5EF4-FFF2-40B4-BE49-F238E27FC236}">
              <a16:creationId xmlns:a16="http://schemas.microsoft.com/office/drawing/2014/main" id="{00000000-0008-0000-0100-000014000000}"/>
            </a:ext>
          </a:extLst>
        </xdr:cNvPr>
        <xdr:cNvSpPr/>
      </xdr:nvSpPr>
      <xdr:spPr>
        <a:xfrm rot="16200000">
          <a:off x="9631680" y="731520"/>
          <a:ext cx="284480" cy="1198880"/>
        </a:xfrm>
        <a:prstGeom prst="leftBrace">
          <a:avLst>
            <a:gd name="adj1" fmla="val 40557"/>
            <a:gd name="adj2" fmla="val 57159"/>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95</xdr:col>
      <xdr:colOff>217349</xdr:colOff>
      <xdr:row>3</xdr:row>
      <xdr:rowOff>264160</xdr:rowOff>
    </xdr:from>
    <xdr:to>
      <xdr:col>95</xdr:col>
      <xdr:colOff>219889</xdr:colOff>
      <xdr:row>4</xdr:row>
      <xdr:rowOff>320040</xdr:rowOff>
    </xdr:to>
    <xdr:cxnSp macro="">
      <xdr:nvCxnSpPr>
        <xdr:cNvPr id="24" name="AutoShape 15">
          <a:extLst>
            <a:ext uri="{FF2B5EF4-FFF2-40B4-BE49-F238E27FC236}">
              <a16:creationId xmlns:a16="http://schemas.microsoft.com/office/drawing/2014/main" id="{00000000-0008-0000-0100-000018000000}"/>
            </a:ext>
          </a:extLst>
        </xdr:cNvPr>
        <xdr:cNvCxnSpPr>
          <a:cxnSpLocks noChangeShapeType="1"/>
        </xdr:cNvCxnSpPr>
      </xdr:nvCxnSpPr>
      <xdr:spPr bwMode="auto">
        <a:xfrm>
          <a:off x="8857885" y="1162231"/>
          <a:ext cx="2540" cy="328023"/>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10</xdr:col>
      <xdr:colOff>88900</xdr:colOff>
      <xdr:row>51</xdr:row>
      <xdr:rowOff>127000</xdr:rowOff>
    </xdr:from>
    <xdr:to>
      <xdr:col>94</xdr:col>
      <xdr:colOff>330200</xdr:colOff>
      <xdr:row>51</xdr:row>
      <xdr:rowOff>127000</xdr:rowOff>
    </xdr:to>
    <xdr:cxnSp macro="">
      <xdr:nvCxnSpPr>
        <xdr:cNvPr id="37" name="AutoShape 15">
          <a:extLst>
            <a:ext uri="{FF2B5EF4-FFF2-40B4-BE49-F238E27FC236}">
              <a16:creationId xmlns:a16="http://schemas.microsoft.com/office/drawing/2014/main" id="{00000000-0008-0000-0100-000025000000}"/>
            </a:ext>
          </a:extLst>
        </xdr:cNvPr>
        <xdr:cNvCxnSpPr>
          <a:cxnSpLocks noChangeShapeType="1"/>
        </xdr:cNvCxnSpPr>
      </xdr:nvCxnSpPr>
      <xdr:spPr bwMode="auto">
        <a:xfrm flipH="1">
          <a:off x="7073900" y="16471900"/>
          <a:ext cx="1409700" cy="0"/>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5</xdr:col>
      <xdr:colOff>358140</xdr:colOff>
      <xdr:row>39</xdr:row>
      <xdr:rowOff>30480</xdr:rowOff>
    </xdr:from>
    <xdr:to>
      <xdr:col>9</xdr:col>
      <xdr:colOff>670560</xdr:colOff>
      <xdr:row>39</xdr:row>
      <xdr:rowOff>346710</xdr:rowOff>
    </xdr:to>
    <xdr:sp macro="" textlink="">
      <xdr:nvSpPr>
        <xdr:cNvPr id="42" name="Left Brace 41">
          <a:extLst>
            <a:ext uri="{FF2B5EF4-FFF2-40B4-BE49-F238E27FC236}">
              <a16:creationId xmlns:a16="http://schemas.microsoft.com/office/drawing/2014/main" id="{00000000-0008-0000-0100-00002A000000}"/>
            </a:ext>
          </a:extLst>
        </xdr:cNvPr>
        <xdr:cNvSpPr/>
      </xdr:nvSpPr>
      <xdr:spPr>
        <a:xfrm rot="16200000">
          <a:off x="4928235" y="10106025"/>
          <a:ext cx="316230" cy="3665220"/>
        </a:xfrm>
        <a:prstGeom prst="leftBrace">
          <a:avLst>
            <a:gd name="adj1" fmla="val 44420"/>
            <a:gd name="adj2" fmla="val 77370"/>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5</xdr:col>
      <xdr:colOff>361950</xdr:colOff>
      <xdr:row>39</xdr:row>
      <xdr:rowOff>19050</xdr:rowOff>
    </xdr:from>
    <xdr:to>
      <xdr:col>9</xdr:col>
      <xdr:colOff>670560</xdr:colOff>
      <xdr:row>39</xdr:row>
      <xdr:rowOff>342900</xdr:rowOff>
    </xdr:to>
    <xdr:sp macro="" textlink="">
      <xdr:nvSpPr>
        <xdr:cNvPr id="44" name="Left Brace 43">
          <a:extLst>
            <a:ext uri="{FF2B5EF4-FFF2-40B4-BE49-F238E27FC236}">
              <a16:creationId xmlns:a16="http://schemas.microsoft.com/office/drawing/2014/main" id="{00000000-0008-0000-0100-00002C000000}"/>
            </a:ext>
          </a:extLst>
        </xdr:cNvPr>
        <xdr:cNvSpPr/>
      </xdr:nvSpPr>
      <xdr:spPr>
        <a:xfrm rot="16200000">
          <a:off x="4926330" y="10100310"/>
          <a:ext cx="323850" cy="3661410"/>
        </a:xfrm>
        <a:prstGeom prst="leftBrace">
          <a:avLst>
            <a:gd name="adj1" fmla="val 32284"/>
            <a:gd name="adj2" fmla="val 7686"/>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5</xdr:col>
      <xdr:colOff>262890</xdr:colOff>
      <xdr:row>39</xdr:row>
      <xdr:rowOff>26670</xdr:rowOff>
    </xdr:from>
    <xdr:to>
      <xdr:col>5</xdr:col>
      <xdr:colOff>262890</xdr:colOff>
      <xdr:row>39</xdr:row>
      <xdr:rowOff>182880</xdr:rowOff>
    </xdr:to>
    <xdr:cxnSp macro="">
      <xdr:nvCxnSpPr>
        <xdr:cNvPr id="41" name="Straight Connector 40">
          <a:extLst>
            <a:ext uri="{FF2B5EF4-FFF2-40B4-BE49-F238E27FC236}">
              <a16:creationId xmlns:a16="http://schemas.microsoft.com/office/drawing/2014/main" id="{00000000-0008-0000-0100-000029000000}"/>
            </a:ext>
          </a:extLst>
        </xdr:cNvPr>
        <xdr:cNvCxnSpPr/>
      </xdr:nvCxnSpPr>
      <xdr:spPr>
        <a:xfrm flipV="1">
          <a:off x="3158490" y="11776710"/>
          <a:ext cx="0" cy="15621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81278</xdr:colOff>
      <xdr:row>11</xdr:row>
      <xdr:rowOff>285750</xdr:rowOff>
    </xdr:from>
    <xdr:to>
      <xdr:col>93</xdr:col>
      <xdr:colOff>26457</xdr:colOff>
      <xdr:row>21</xdr:row>
      <xdr:rowOff>158749</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rot="10800000">
          <a:off x="8286385" y="3429000"/>
          <a:ext cx="394215" cy="3819070"/>
        </a:xfrm>
        <a:prstGeom prst="rightBrace">
          <a:avLst>
            <a:gd name="adj1" fmla="val 8333"/>
            <a:gd name="adj2" fmla="val 91766"/>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88900</xdr:colOff>
      <xdr:row>46</xdr:row>
      <xdr:rowOff>0</xdr:rowOff>
    </xdr:from>
    <xdr:to>
      <xdr:col>94</xdr:col>
      <xdr:colOff>361950</xdr:colOff>
      <xdr:row>49</xdr:row>
      <xdr:rowOff>317500</xdr:rowOff>
    </xdr:to>
    <xdr:cxnSp macro="">
      <xdr:nvCxnSpPr>
        <xdr:cNvPr id="28" name="Straight Connector 27">
          <a:extLst>
            <a:ext uri="{FF2B5EF4-FFF2-40B4-BE49-F238E27FC236}">
              <a16:creationId xmlns:a16="http://schemas.microsoft.com/office/drawing/2014/main" id="{00000000-0008-0000-0100-00001C000000}"/>
            </a:ext>
          </a:extLst>
        </xdr:cNvPr>
        <xdr:cNvCxnSpPr/>
      </xdr:nvCxnSpPr>
      <xdr:spPr>
        <a:xfrm flipH="1" flipV="1">
          <a:off x="7200900" y="14890750"/>
          <a:ext cx="1276350" cy="5334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50</xdr:row>
      <xdr:rowOff>161925</xdr:rowOff>
    </xdr:from>
    <xdr:to>
      <xdr:col>6</xdr:col>
      <xdr:colOff>873125</xdr:colOff>
      <xdr:row>51</xdr:row>
      <xdr:rowOff>47625</xdr:rowOff>
    </xdr:to>
    <xdr:cxnSp macro="">
      <xdr:nvCxnSpPr>
        <xdr:cNvPr id="34" name="AutoShape 15">
          <a:extLst>
            <a:ext uri="{FF2B5EF4-FFF2-40B4-BE49-F238E27FC236}">
              <a16:creationId xmlns:a16="http://schemas.microsoft.com/office/drawing/2014/main" id="{00000000-0008-0000-0100-000022000000}"/>
            </a:ext>
          </a:extLst>
        </xdr:cNvPr>
        <xdr:cNvCxnSpPr>
          <a:cxnSpLocks noChangeShapeType="1"/>
        </xdr:cNvCxnSpPr>
      </xdr:nvCxnSpPr>
      <xdr:spPr bwMode="auto">
        <a:xfrm flipH="1" flipV="1">
          <a:off x="4149725" y="16148050"/>
          <a:ext cx="835025" cy="187325"/>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6</xdr:col>
      <xdr:colOff>361950</xdr:colOff>
      <xdr:row>40</xdr:row>
      <xdr:rowOff>190501</xdr:rowOff>
    </xdr:from>
    <xdr:to>
      <xdr:col>6</xdr:col>
      <xdr:colOff>366346</xdr:colOff>
      <xdr:row>49</xdr:row>
      <xdr:rowOff>14654</xdr:rowOff>
    </xdr:to>
    <xdr:cxnSp macro="">
      <xdr:nvCxnSpPr>
        <xdr:cNvPr id="39" name="Straight Connector 38">
          <a:extLst>
            <a:ext uri="{FF2B5EF4-FFF2-40B4-BE49-F238E27FC236}">
              <a16:creationId xmlns:a16="http://schemas.microsoft.com/office/drawing/2014/main" id="{00000000-0008-0000-0100-000027000000}"/>
            </a:ext>
          </a:extLst>
        </xdr:cNvPr>
        <xdr:cNvCxnSpPr/>
      </xdr:nvCxnSpPr>
      <xdr:spPr>
        <a:xfrm flipH="1" flipV="1">
          <a:off x="4479681" y="14038386"/>
          <a:ext cx="4396" cy="208084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48</xdr:row>
      <xdr:rowOff>317500</xdr:rowOff>
    </xdr:from>
    <xdr:to>
      <xdr:col>7</xdr:col>
      <xdr:colOff>1592</xdr:colOff>
      <xdr:row>48</xdr:row>
      <xdr:rowOff>317503</xdr:rowOff>
    </xdr:to>
    <xdr:cxnSp macro="">
      <xdr:nvCxnSpPr>
        <xdr:cNvPr id="45" name="AutoShape 15">
          <a:extLst>
            <a:ext uri="{FF2B5EF4-FFF2-40B4-BE49-F238E27FC236}">
              <a16:creationId xmlns:a16="http://schemas.microsoft.com/office/drawing/2014/main" id="{00000000-0008-0000-0100-00002D000000}"/>
            </a:ext>
          </a:extLst>
        </xdr:cNvPr>
        <xdr:cNvCxnSpPr>
          <a:cxnSpLocks noChangeShapeType="1"/>
        </xdr:cNvCxnSpPr>
      </xdr:nvCxnSpPr>
      <xdr:spPr bwMode="auto">
        <a:xfrm flipH="1" flipV="1">
          <a:off x="4152900" y="15430500"/>
          <a:ext cx="382592" cy="3"/>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6</xdr:col>
      <xdr:colOff>355600</xdr:colOff>
      <xdr:row>40</xdr:row>
      <xdr:rowOff>184153</xdr:rowOff>
    </xdr:from>
    <xdr:to>
      <xdr:col>7</xdr:col>
      <xdr:colOff>7941</xdr:colOff>
      <xdr:row>40</xdr:row>
      <xdr:rowOff>187325</xdr:rowOff>
    </xdr:to>
    <xdr:cxnSp macro="">
      <xdr:nvCxnSpPr>
        <xdr:cNvPr id="57" name="AutoShape 15">
          <a:extLst>
            <a:ext uri="{FF2B5EF4-FFF2-40B4-BE49-F238E27FC236}">
              <a16:creationId xmlns:a16="http://schemas.microsoft.com/office/drawing/2014/main" id="{00000000-0008-0000-0100-000039000000}"/>
            </a:ext>
          </a:extLst>
        </xdr:cNvPr>
        <xdr:cNvCxnSpPr>
          <a:cxnSpLocks noChangeShapeType="1"/>
        </xdr:cNvCxnSpPr>
      </xdr:nvCxnSpPr>
      <xdr:spPr bwMode="auto">
        <a:xfrm flipH="1">
          <a:off x="4613275" y="13395328"/>
          <a:ext cx="404816" cy="3172"/>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96</xdr:col>
      <xdr:colOff>138791</xdr:colOff>
      <xdr:row>25</xdr:row>
      <xdr:rowOff>231322</xdr:rowOff>
    </xdr:from>
    <xdr:to>
      <xdr:col>96</xdr:col>
      <xdr:colOff>585106</xdr:colOff>
      <xdr:row>31</xdr:row>
      <xdr:rowOff>108857</xdr:rowOff>
    </xdr:to>
    <xdr:sp macro="" textlink="">
      <xdr:nvSpPr>
        <xdr:cNvPr id="77" name="Right Brace 76">
          <a:extLst>
            <a:ext uri="{FF2B5EF4-FFF2-40B4-BE49-F238E27FC236}">
              <a16:creationId xmlns:a16="http://schemas.microsoft.com/office/drawing/2014/main" id="{00000000-0008-0000-0100-00004D000000}"/>
            </a:ext>
          </a:extLst>
        </xdr:cNvPr>
        <xdr:cNvSpPr/>
      </xdr:nvSpPr>
      <xdr:spPr>
        <a:xfrm rot="10800000">
          <a:off x="10575470" y="8354786"/>
          <a:ext cx="446315" cy="1986642"/>
        </a:xfrm>
        <a:prstGeom prst="rightBrace">
          <a:avLst>
            <a:gd name="adj1" fmla="val 8333"/>
            <a:gd name="adj2" fmla="val 6707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91</xdr:col>
      <xdr:colOff>63502</xdr:colOff>
      <xdr:row>3</xdr:row>
      <xdr:rowOff>148166</xdr:rowOff>
    </xdr:from>
    <xdr:to>
      <xdr:col>94</xdr:col>
      <xdr:colOff>190500</xdr:colOff>
      <xdr:row>7</xdr:row>
      <xdr:rowOff>165100</xdr:rowOff>
    </xdr:to>
    <xdr:cxnSp macro="">
      <xdr:nvCxnSpPr>
        <xdr:cNvPr id="38" name="AutoShape 15">
          <a:extLst>
            <a:ext uri="{FF2B5EF4-FFF2-40B4-BE49-F238E27FC236}">
              <a16:creationId xmlns:a16="http://schemas.microsoft.com/office/drawing/2014/main" id="{00000000-0008-0000-0100-000026000000}"/>
            </a:ext>
          </a:extLst>
        </xdr:cNvPr>
        <xdr:cNvCxnSpPr>
          <a:cxnSpLocks noChangeShapeType="1"/>
        </xdr:cNvCxnSpPr>
      </xdr:nvCxnSpPr>
      <xdr:spPr bwMode="auto">
        <a:xfrm flipH="1" flipV="1">
          <a:off x="8166102" y="1075266"/>
          <a:ext cx="1041398" cy="1198034"/>
        </a:xfrm>
        <a:prstGeom prst="straightConnector1">
          <a:avLst/>
        </a:prstGeom>
        <a:noFill/>
        <a:ln w="25400">
          <a:solidFill>
            <a:srgbClr xmlns:mc="http://schemas.openxmlformats.org/markup-compatibility/2006" xmlns:a14="http://schemas.microsoft.com/office/drawing/2010/main" val="000000" mc:Ignorable="a14" a14:legacySpreadsheetColorIndex="64"/>
          </a:solidFill>
          <a:round/>
          <a:headEnd type="triangle" w="lg" len="lg"/>
          <a:tailEnd type="none" w="med" len="med"/>
        </a:ln>
        <a:extLst>
          <a:ext uri="{909E8E84-426E-40DD-AFC4-6F175D3DCCD1}">
            <a14:hiddenFill xmlns:a14="http://schemas.microsoft.com/office/drawing/2010/main">
              <a:noFill/>
            </a14:hiddenFill>
          </a:ext>
        </a:extLst>
      </xdr:spPr>
    </xdr:cxnSp>
    <xdr:clientData/>
  </xdr:twoCellAnchor>
  <xdr:twoCellAnchor>
    <xdr:from>
      <xdr:col>7</xdr:col>
      <xdr:colOff>492125</xdr:colOff>
      <xdr:row>3</xdr:row>
      <xdr:rowOff>142875</xdr:rowOff>
    </xdr:from>
    <xdr:to>
      <xdr:col>91</xdr:col>
      <xdr:colOff>73269</xdr:colOff>
      <xdr:row>3</xdr:row>
      <xdr:rowOff>146540</xdr:rowOff>
    </xdr:to>
    <xdr:cxnSp macro="">
      <xdr:nvCxnSpPr>
        <xdr:cNvPr id="40" name="Straight Connector 39">
          <a:extLst>
            <a:ext uri="{FF2B5EF4-FFF2-40B4-BE49-F238E27FC236}">
              <a16:creationId xmlns:a16="http://schemas.microsoft.com/office/drawing/2014/main" id="{00000000-0008-0000-0100-000028000000}"/>
            </a:ext>
          </a:extLst>
        </xdr:cNvPr>
        <xdr:cNvCxnSpPr/>
      </xdr:nvCxnSpPr>
      <xdr:spPr>
        <a:xfrm>
          <a:off x="5524500" y="1047750"/>
          <a:ext cx="2629144" cy="366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569743</xdr:colOff>
      <xdr:row>25</xdr:row>
      <xdr:rowOff>63500</xdr:rowOff>
    </xdr:from>
    <xdr:to>
      <xdr:col>5</xdr:col>
      <xdr:colOff>666750</xdr:colOff>
      <xdr:row>25</xdr:row>
      <xdr:rowOff>191860</xdr:rowOff>
    </xdr:to>
    <xdr:sp macro="" textlink="">
      <xdr:nvSpPr>
        <xdr:cNvPr id="4" name="Down Arrow 3">
          <a:extLst>
            <a:ext uri="{FF2B5EF4-FFF2-40B4-BE49-F238E27FC236}">
              <a16:creationId xmlns:a16="http://schemas.microsoft.com/office/drawing/2014/main" id="{00000000-0008-0000-0100-000004000000}"/>
            </a:ext>
          </a:extLst>
        </xdr:cNvPr>
        <xdr:cNvSpPr/>
      </xdr:nvSpPr>
      <xdr:spPr>
        <a:xfrm>
          <a:off x="3776493" y="8215313"/>
          <a:ext cx="97007" cy="1283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1000125</xdr:colOff>
      <xdr:row>11</xdr:row>
      <xdr:rowOff>380999</xdr:rowOff>
    </xdr:from>
    <xdr:to>
      <xdr:col>10</xdr:col>
      <xdr:colOff>47626</xdr:colOff>
      <xdr:row>14</xdr:row>
      <xdr:rowOff>63499</xdr:rowOff>
    </xdr:to>
    <xdr:sp macro="" textlink="">
      <xdr:nvSpPr>
        <xdr:cNvPr id="5" name="Rounded Rectangle 4">
          <a:extLst>
            <a:ext uri="{FF2B5EF4-FFF2-40B4-BE49-F238E27FC236}">
              <a16:creationId xmlns:a16="http://schemas.microsoft.com/office/drawing/2014/main" id="{00000000-0008-0000-0100-000005000000}"/>
            </a:ext>
          </a:extLst>
        </xdr:cNvPr>
        <xdr:cNvSpPr/>
      </xdr:nvSpPr>
      <xdr:spPr>
        <a:xfrm>
          <a:off x="6175375" y="3492499"/>
          <a:ext cx="1984376" cy="77787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93</xdr:col>
      <xdr:colOff>444500</xdr:colOff>
      <xdr:row>19</xdr:row>
      <xdr:rowOff>603250</xdr:rowOff>
    </xdr:from>
    <xdr:to>
      <xdr:col>95</xdr:col>
      <xdr:colOff>587375</xdr:colOff>
      <xdr:row>20</xdr:row>
      <xdr:rowOff>476250</xdr:rowOff>
    </xdr:to>
    <xdr:sp macro="" textlink="">
      <xdr:nvSpPr>
        <xdr:cNvPr id="32" name="Rounded Rectangle 31">
          <a:extLst>
            <a:ext uri="{FF2B5EF4-FFF2-40B4-BE49-F238E27FC236}">
              <a16:creationId xmlns:a16="http://schemas.microsoft.com/office/drawing/2014/main" id="{00000000-0008-0000-0100-000020000000}"/>
            </a:ext>
          </a:extLst>
        </xdr:cNvPr>
        <xdr:cNvSpPr/>
      </xdr:nvSpPr>
      <xdr:spPr>
        <a:xfrm>
          <a:off x="8937625" y="6223000"/>
          <a:ext cx="1095375" cy="52387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98</xdr:col>
      <xdr:colOff>365125</xdr:colOff>
      <xdr:row>19</xdr:row>
      <xdr:rowOff>615121</xdr:rowOff>
    </xdr:from>
    <xdr:to>
      <xdr:col>99</xdr:col>
      <xdr:colOff>714375</xdr:colOff>
      <xdr:row>20</xdr:row>
      <xdr:rowOff>460376</xdr:rowOff>
    </xdr:to>
    <xdr:sp macro="" textlink="">
      <xdr:nvSpPr>
        <xdr:cNvPr id="43" name="Rounded Rectangle 42">
          <a:extLst>
            <a:ext uri="{FF2B5EF4-FFF2-40B4-BE49-F238E27FC236}">
              <a16:creationId xmlns:a16="http://schemas.microsoft.com/office/drawing/2014/main" id="{00000000-0008-0000-0100-00002B000000}"/>
            </a:ext>
          </a:extLst>
        </xdr:cNvPr>
        <xdr:cNvSpPr/>
      </xdr:nvSpPr>
      <xdr:spPr>
        <a:xfrm>
          <a:off x="12033250" y="6234871"/>
          <a:ext cx="1047750" cy="496130"/>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96</xdr:col>
      <xdr:colOff>114301</xdr:colOff>
      <xdr:row>19</xdr:row>
      <xdr:rowOff>592895</xdr:rowOff>
    </xdr:from>
    <xdr:to>
      <xdr:col>98</xdr:col>
      <xdr:colOff>47625</xdr:colOff>
      <xdr:row>20</xdr:row>
      <xdr:rowOff>508000</xdr:rowOff>
    </xdr:to>
    <xdr:sp macro="" textlink="">
      <xdr:nvSpPr>
        <xdr:cNvPr id="46" name="Rounded Rectangle 45">
          <a:extLst>
            <a:ext uri="{FF2B5EF4-FFF2-40B4-BE49-F238E27FC236}">
              <a16:creationId xmlns:a16="http://schemas.microsoft.com/office/drawing/2014/main" id="{00000000-0008-0000-0100-00002E000000}"/>
            </a:ext>
          </a:extLst>
        </xdr:cNvPr>
        <xdr:cNvSpPr/>
      </xdr:nvSpPr>
      <xdr:spPr>
        <a:xfrm>
          <a:off x="10401301" y="6212645"/>
          <a:ext cx="1314449" cy="565980"/>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8"/>
  <sheetViews>
    <sheetView tabSelected="1" view="pageBreakPreview" zoomScaleNormal="100" zoomScaleSheetLayoutView="100" workbookViewId="0"/>
  </sheetViews>
  <sheetFormatPr defaultColWidth="9.140625" defaultRowHeight="12.75" x14ac:dyDescent="0.2"/>
  <cols>
    <col min="1" max="1" width="6.28515625" style="2" customWidth="1"/>
    <col min="2" max="2" width="86.5703125" style="2" customWidth="1"/>
    <col min="3" max="16384" width="9.140625" style="2"/>
  </cols>
  <sheetData>
    <row r="1" spans="1:2" x14ac:dyDescent="0.2">
      <c r="A1" s="492"/>
      <c r="B1" s="546"/>
    </row>
    <row r="2" spans="1:2" ht="17.45" customHeight="1" x14ac:dyDescent="0.2">
      <c r="A2" s="565" t="s">
        <v>258</v>
      </c>
      <c r="B2" s="566"/>
    </row>
    <row r="3" spans="1:2" ht="130.5" customHeight="1" x14ac:dyDescent="0.2">
      <c r="A3" s="565" t="s">
        <v>264</v>
      </c>
      <c r="B3" s="567"/>
    </row>
    <row r="4" spans="1:2" ht="107.25" customHeight="1" x14ac:dyDescent="0.2">
      <c r="A4" s="565" t="s">
        <v>248</v>
      </c>
      <c r="B4" s="567"/>
    </row>
    <row r="5" spans="1:2" ht="93.75" customHeight="1" x14ac:dyDescent="0.2">
      <c r="A5" s="493" t="s">
        <v>21</v>
      </c>
      <c r="B5" s="514" t="s">
        <v>265</v>
      </c>
    </row>
    <row r="6" spans="1:2" ht="93.75" customHeight="1" x14ac:dyDescent="0.2">
      <c r="A6" s="493" t="s">
        <v>22</v>
      </c>
      <c r="B6" s="514" t="s">
        <v>221</v>
      </c>
    </row>
    <row r="7" spans="1:2" ht="171.75" customHeight="1" x14ac:dyDescent="0.2">
      <c r="A7" s="520" t="s">
        <v>23</v>
      </c>
      <c r="B7" s="514" t="s">
        <v>223</v>
      </c>
    </row>
    <row r="8" spans="1:2" ht="81.75" customHeight="1" thickBot="1" x14ac:dyDescent="0.25">
      <c r="A8" s="521" t="s">
        <v>249</v>
      </c>
      <c r="B8" s="494" t="s">
        <v>250</v>
      </c>
    </row>
    <row r="9" spans="1:2" ht="16.899999999999999" customHeight="1" x14ac:dyDescent="0.2">
      <c r="A9" s="423"/>
      <c r="B9" s="422"/>
    </row>
    <row r="10" spans="1:2" ht="13.15" customHeight="1" x14ac:dyDescent="0.2">
      <c r="B10" s="422"/>
    </row>
    <row r="11" spans="1:2" x14ac:dyDescent="0.2">
      <c r="B11" s="422"/>
    </row>
    <row r="12" spans="1:2" x14ac:dyDescent="0.2">
      <c r="B12" s="422"/>
    </row>
    <row r="13" spans="1:2" x14ac:dyDescent="0.2">
      <c r="B13" s="422"/>
    </row>
    <row r="14" spans="1:2" x14ac:dyDescent="0.2">
      <c r="B14" s="422"/>
    </row>
    <row r="15" spans="1:2" x14ac:dyDescent="0.2">
      <c r="B15" s="422"/>
    </row>
    <row r="16" spans="1:2" x14ac:dyDescent="0.2">
      <c r="B16" s="422"/>
    </row>
    <row r="17" spans="2:2" x14ac:dyDescent="0.2">
      <c r="B17" s="422"/>
    </row>
    <row r="18" spans="2:2" x14ac:dyDescent="0.2">
      <c r="B18" s="422"/>
    </row>
    <row r="19" spans="2:2" x14ac:dyDescent="0.2">
      <c r="B19" s="422"/>
    </row>
    <row r="20" spans="2:2" x14ac:dyDescent="0.2">
      <c r="B20" s="422"/>
    </row>
    <row r="21" spans="2:2" x14ac:dyDescent="0.2">
      <c r="B21" s="422"/>
    </row>
    <row r="22" spans="2:2" x14ac:dyDescent="0.2">
      <c r="B22" s="422"/>
    </row>
    <row r="23" spans="2:2" x14ac:dyDescent="0.2">
      <c r="B23" s="422"/>
    </row>
    <row r="24" spans="2:2" x14ac:dyDescent="0.2">
      <c r="B24" s="422"/>
    </row>
    <row r="25" spans="2:2" x14ac:dyDescent="0.2">
      <c r="B25" s="422"/>
    </row>
    <row r="26" spans="2:2" x14ac:dyDescent="0.2">
      <c r="B26" s="422"/>
    </row>
    <row r="27" spans="2:2" x14ac:dyDescent="0.2">
      <c r="B27" s="424"/>
    </row>
    <row r="28" spans="2:2" x14ac:dyDescent="0.2">
      <c r="B28" s="424"/>
    </row>
  </sheetData>
  <sheetProtection algorithmName="SHA-512" hashValue="uR2l+bdBmkxk7rr0t5dDjtNiXn3A3TNUZiLGQpW+6sFi9I9PbAUW2lSliAKaHLP2vUbd0/8mf+JekD2Zq/PEug==" saltValue="BBlXhXnuQRHBJTf3ACesWQ==" spinCount="100000" sheet="1" objects="1" scenarios="1" selectLockedCells="1"/>
  <mergeCells count="3">
    <mergeCell ref="A2:B2"/>
    <mergeCell ref="A3:B3"/>
    <mergeCell ref="A4:B4"/>
  </mergeCells>
  <phoneticPr fontId="14" type="noConversion"/>
  <pageMargins left="0.4" right="0.75" top="1" bottom="1" header="0.5" footer="0.5"/>
  <pageSetup scale="74" orientation="portrait" r:id="rId1"/>
  <headerFooter alignWithMargins="0">
    <oddHeader xml:space="preserve">&amp;LODA Fertility Managment Tool 
Version 5.0 (AUG 2020) - All Manure Types
</oddHeader>
  </headerFooter>
  <rowBreaks count="1" manualBreakCount="1">
    <brk id="8"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Z111"/>
  <sheetViews>
    <sheetView showGridLines="0" view="pageBreakPreview" topLeftCell="A13" zoomScale="60" zoomScaleNormal="55" zoomScalePageLayoutView="50" workbookViewId="0">
      <selection activeCell="G34" sqref="G34"/>
    </sheetView>
  </sheetViews>
  <sheetFormatPr defaultColWidth="9.140625" defaultRowHeight="12.75" x14ac:dyDescent="0.2"/>
  <cols>
    <col min="1" max="1" width="1.28515625" style="2" customWidth="1"/>
    <col min="2" max="2" width="4.85546875" style="2" customWidth="1"/>
    <col min="3" max="3" width="15" style="1" customWidth="1"/>
    <col min="4" max="4" width="12.85546875" style="1" customWidth="1"/>
    <col min="5" max="5" width="13.42578125" style="1" customWidth="1"/>
    <col min="6" max="6" width="16.85546875" style="2" customWidth="1"/>
    <col min="7" max="7" width="13.7109375" style="2" customWidth="1"/>
    <col min="8" max="8" width="15.7109375" style="2" customWidth="1"/>
    <col min="9" max="9" width="14" style="2" customWidth="1"/>
    <col min="10" max="10" width="14.28515625" style="2" customWidth="1"/>
    <col min="11" max="11" width="2.140625" style="2" customWidth="1"/>
    <col min="12" max="12" width="1.5703125" style="2" hidden="1" customWidth="1"/>
    <col min="13" max="14" width="9.85546875" style="2" hidden="1" customWidth="1"/>
    <col min="15" max="15" width="10.85546875" style="2" hidden="1" customWidth="1"/>
    <col min="16" max="91" width="9.85546875" style="2" hidden="1" customWidth="1"/>
    <col min="92" max="92" width="2" style="2" customWidth="1"/>
    <col min="93" max="93" width="1.42578125" style="2" customWidth="1"/>
    <col min="94" max="94" width="8.85546875" style="2" customWidth="1"/>
    <col min="95" max="95" width="5.5703125" style="2" customWidth="1"/>
    <col min="96" max="96" width="12.5703125" style="2" customWidth="1"/>
    <col min="97" max="97" width="10.85546875" style="2" customWidth="1"/>
    <col min="98" max="98" width="10.140625" style="2" customWidth="1"/>
    <col min="99" max="99" width="10.5703125" style="2" customWidth="1"/>
    <col min="100" max="100" width="13.5703125" style="2" customWidth="1"/>
    <col min="101" max="101" width="12.140625" style="2" customWidth="1"/>
    <col min="102" max="102" width="2" style="2" customWidth="1"/>
    <col min="103" max="103" width="3.42578125" style="2" customWidth="1"/>
    <col min="104" max="104" width="12.85546875" style="2" hidden="1" customWidth="1"/>
    <col min="105" max="105" width="11.28515625" style="2" hidden="1" customWidth="1"/>
    <col min="106" max="106" width="14" style="2" hidden="1" customWidth="1"/>
    <col min="107" max="107" width="14.85546875" style="2" hidden="1" customWidth="1"/>
    <col min="108" max="108" width="14.7109375" style="2" hidden="1" customWidth="1"/>
    <col min="109" max="109" width="10.85546875" style="2" hidden="1" customWidth="1"/>
    <col min="110" max="113" width="9.140625" style="2" hidden="1" customWidth="1"/>
    <col min="114" max="114" width="11.140625" style="2" hidden="1" customWidth="1"/>
    <col min="115" max="116" width="9.140625" style="2" hidden="1" customWidth="1"/>
    <col min="117" max="117" width="10.5703125" style="2" hidden="1" customWidth="1"/>
    <col min="118" max="118" width="9.140625" style="2" hidden="1" customWidth="1"/>
    <col min="119" max="119" width="13" style="2" hidden="1" customWidth="1"/>
    <col min="120" max="120" width="12.140625" style="2" hidden="1" customWidth="1"/>
    <col min="121" max="123" width="9.140625" style="2" hidden="1" customWidth="1"/>
    <col min="124" max="124" width="12.140625" style="2" hidden="1" customWidth="1"/>
    <col min="125" max="156" width="9.140625" style="2" hidden="1" customWidth="1"/>
    <col min="157" max="159" width="9.140625" style="2" customWidth="1"/>
    <col min="160" max="160" width="2.28515625" style="2" customWidth="1"/>
    <col min="161" max="189" width="9.140625" style="2" customWidth="1"/>
    <col min="190" max="16384" width="9.140625" style="2"/>
  </cols>
  <sheetData>
    <row r="1" spans="1:151" ht="19.5" customHeight="1" thickBot="1" x14ac:dyDescent="0.25">
      <c r="A1" s="110"/>
      <c r="B1" s="139"/>
      <c r="C1" s="139"/>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648" t="s">
        <v>135</v>
      </c>
      <c r="CT1" s="649"/>
      <c r="CU1" s="649"/>
      <c r="CV1" s="649"/>
      <c r="CW1" s="139"/>
      <c r="CX1" s="212"/>
      <c r="DB1" s="346"/>
      <c r="DC1" s="51"/>
      <c r="DD1" s="51"/>
      <c r="DE1" s="1"/>
      <c r="DF1" s="1"/>
      <c r="DG1" s="1"/>
      <c r="DH1" s="1"/>
      <c r="DI1" s="1"/>
      <c r="DJ1" s="1"/>
      <c r="DK1" s="1"/>
    </row>
    <row r="2" spans="1:151" ht="25.5" customHeight="1" thickBot="1" x14ac:dyDescent="0.25">
      <c r="A2" s="129"/>
      <c r="B2" s="110"/>
      <c r="C2" s="131" t="s">
        <v>56</v>
      </c>
      <c r="D2" s="604"/>
      <c r="E2" s="605"/>
      <c r="F2" s="605"/>
      <c r="G2" s="605"/>
      <c r="H2" s="605"/>
      <c r="I2" s="605"/>
      <c r="J2" s="606"/>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300"/>
      <c r="CS2" s="650" t="str">
        <f>IF(I5=DO5, DQ5, DQ6)</f>
        <v>lbs/ 1,000 gallons</v>
      </c>
      <c r="CT2" s="651"/>
      <c r="CU2" s="651"/>
      <c r="CV2" s="652"/>
      <c r="CW2" s="1"/>
      <c r="CX2" s="495"/>
      <c r="CY2" s="21"/>
      <c r="CZ2" s="21"/>
      <c r="DA2" s="21"/>
      <c r="DB2" s="355"/>
      <c r="EP2" s="308"/>
      <c r="EQ2" s="154"/>
      <c r="ER2" s="51"/>
      <c r="ES2" s="133" t="s">
        <v>217</v>
      </c>
      <c r="ET2" s="446">
        <f>I52-E44</f>
        <v>0</v>
      </c>
      <c r="EU2" s="445" t="s">
        <v>218</v>
      </c>
    </row>
    <row r="3" spans="1:151" ht="28.5" customHeight="1" thickBot="1" x14ac:dyDescent="0.25">
      <c r="A3" s="129"/>
      <c r="B3" s="129"/>
      <c r="C3" s="132" t="s">
        <v>178</v>
      </c>
      <c r="D3" s="407"/>
      <c r="E3" s="64" t="s">
        <v>31</v>
      </c>
      <c r="F3" s="1"/>
      <c r="G3" s="63"/>
      <c r="H3" s="63"/>
      <c r="I3" s="1"/>
      <c r="J3" s="13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623" t="s">
        <v>154</v>
      </c>
      <c r="CR3" s="653"/>
      <c r="CS3" s="275" t="s">
        <v>0</v>
      </c>
      <c r="CT3" s="276" t="s">
        <v>118</v>
      </c>
      <c r="CU3" s="276" t="s">
        <v>116</v>
      </c>
      <c r="CV3" s="277" t="s">
        <v>117</v>
      </c>
      <c r="CW3" s="1"/>
      <c r="CX3" s="130"/>
      <c r="DB3" s="346"/>
      <c r="EP3" s="384"/>
      <c r="EQ3" s="154"/>
      <c r="ER3" s="51"/>
      <c r="ES3" s="133"/>
      <c r="ET3" s="446">
        <f>ABS(ET2)</f>
        <v>0</v>
      </c>
      <c r="EU3" s="445"/>
    </row>
    <row r="4" spans="1:151" ht="21.6" customHeight="1" thickBot="1" x14ac:dyDescent="0.25">
      <c r="A4" s="129"/>
      <c r="B4" s="129"/>
      <c r="C4" s="384" t="s">
        <v>112</v>
      </c>
      <c r="D4" s="598"/>
      <c r="E4" s="599"/>
      <c r="F4" s="233" t="s">
        <v>188</v>
      </c>
      <c r="G4" s="63"/>
      <c r="H4" s="63"/>
      <c r="I4" s="1"/>
      <c r="J4" s="13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245"/>
      <c r="CO4" s="245"/>
      <c r="CP4" s="1"/>
      <c r="CQ4" s="656">
        <f>DM87</f>
        <v>0</v>
      </c>
      <c r="CR4" s="657"/>
      <c r="CS4" s="398"/>
      <c r="CT4" s="399"/>
      <c r="CU4" s="399"/>
      <c r="CV4" s="400"/>
      <c r="CW4" s="1"/>
      <c r="CX4" s="496"/>
      <c r="CY4" s="86"/>
      <c r="CZ4" s="86"/>
      <c r="DB4" s="346"/>
      <c r="EP4" s="308"/>
      <c r="EQ4" s="154"/>
      <c r="ER4" s="51"/>
      <c r="ES4" s="133" t="s">
        <v>216</v>
      </c>
      <c r="ET4" s="446">
        <f>I26</f>
        <v>0</v>
      </c>
      <c r="EU4" s="445" t="s">
        <v>115</v>
      </c>
    </row>
    <row r="5" spans="1:151" ht="25.5" customHeight="1" thickBot="1" x14ac:dyDescent="0.25">
      <c r="A5" s="129"/>
      <c r="B5" s="628" t="s">
        <v>124</v>
      </c>
      <c r="C5" s="629"/>
      <c r="D5" s="708"/>
      <c r="E5" s="709"/>
      <c r="F5" s="709"/>
      <c r="G5" s="710"/>
      <c r="H5" s="513" t="s">
        <v>190</v>
      </c>
      <c r="I5" s="711" t="s">
        <v>199</v>
      </c>
      <c r="J5" s="71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480"/>
      <c r="CO5" s="63"/>
      <c r="CP5" s="63"/>
      <c r="CQ5" s="63"/>
      <c r="CR5" s="63"/>
      <c r="CS5" s="63"/>
      <c r="CT5" s="203"/>
      <c r="CU5" s="203"/>
      <c r="CV5" s="203"/>
      <c r="CW5" s="203"/>
      <c r="CX5" s="497"/>
      <c r="CY5" s="62"/>
      <c r="CZ5" s="62"/>
      <c r="DA5" s="62"/>
      <c r="DB5" s="346"/>
      <c r="DC5" s="226" t="s">
        <v>85</v>
      </c>
      <c r="DD5" s="226" t="s">
        <v>83</v>
      </c>
      <c r="DG5" s="166" t="s">
        <v>96</v>
      </c>
      <c r="DH5" s="2" t="b">
        <f>AND(E13=DC5,F13=DD5)</f>
        <v>1</v>
      </c>
      <c r="DK5" s="166" t="s">
        <v>114</v>
      </c>
      <c r="DL5" s="244">
        <f>(D4-D17)/365</f>
        <v>-118.86575342465754</v>
      </c>
      <c r="DM5" s="81" t="s">
        <v>115</v>
      </c>
      <c r="DO5" s="81" t="s">
        <v>199</v>
      </c>
      <c r="DQ5" s="81" t="s">
        <v>191</v>
      </c>
      <c r="DS5" s="417" t="s">
        <v>177</v>
      </c>
      <c r="ER5" s="345" t="str">
        <f>DG5</f>
        <v>Bray P1 in ppm?</v>
      </c>
      <c r="ES5" s="2" t="b">
        <f>DH5</f>
        <v>1</v>
      </c>
      <c r="ET5" s="2">
        <f>ET3/20</f>
        <v>0</v>
      </c>
      <c r="EU5" s="81">
        <f>IF($ET$2&gt;0, ET5, ET5*-1)</f>
        <v>0</v>
      </c>
    </row>
    <row r="6" spans="1:151" ht="23.45" customHeight="1" thickBot="1" x14ac:dyDescent="0.25">
      <c r="A6" s="129"/>
      <c r="B6" s="129"/>
      <c r="C6" s="133" t="s">
        <v>57</v>
      </c>
      <c r="D6" s="607"/>
      <c r="E6" s="608"/>
      <c r="F6" s="608"/>
      <c r="G6" s="608"/>
      <c r="H6" s="608"/>
      <c r="I6" s="608"/>
      <c r="J6" s="609"/>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480"/>
      <c r="CO6" s="63"/>
      <c r="CP6" s="63"/>
      <c r="CQ6" s="381"/>
      <c r="CR6" s="379" t="s">
        <v>134</v>
      </c>
      <c r="CS6" s="379"/>
      <c r="CT6" s="379"/>
      <c r="CU6" s="379"/>
      <c r="CV6" s="380"/>
      <c r="CW6" s="203"/>
      <c r="CX6" s="497"/>
      <c r="CY6" s="203"/>
      <c r="CZ6" s="203"/>
      <c r="DA6" s="203"/>
      <c r="DB6" s="346"/>
      <c r="DC6" s="226" t="s">
        <v>58</v>
      </c>
      <c r="DD6" s="226" t="s">
        <v>84</v>
      </c>
      <c r="DG6" s="166" t="s">
        <v>97</v>
      </c>
      <c r="DH6" s="2" t="b">
        <f>AND(E13=DC6,F13=DD5)</f>
        <v>0</v>
      </c>
      <c r="DO6" s="81" t="s">
        <v>189</v>
      </c>
      <c r="DQ6" s="81" t="s">
        <v>192</v>
      </c>
      <c r="DS6" s="417" t="s">
        <v>197</v>
      </c>
      <c r="ER6" s="345" t="str">
        <f t="shared" ref="ER6:ER8" si="0">DG6</f>
        <v>Bray P1 in lbs/ac?</v>
      </c>
      <c r="ES6" s="2" t="b">
        <f t="shared" ref="ES6:ES8" si="1">DH6</f>
        <v>0</v>
      </c>
      <c r="ET6" s="2">
        <f>ET5*2</f>
        <v>0</v>
      </c>
      <c r="EU6" s="81">
        <f>IF($ET$2&gt;0, ET6, ET6*-1)</f>
        <v>0</v>
      </c>
    </row>
    <row r="7" spans="1:151" ht="22.9" customHeight="1" thickBot="1" x14ac:dyDescent="0.25">
      <c r="A7" s="129"/>
      <c r="B7" s="129"/>
      <c r="C7" s="138"/>
      <c r="D7" s="607"/>
      <c r="E7" s="608"/>
      <c r="F7" s="608"/>
      <c r="G7" s="608"/>
      <c r="H7" s="608"/>
      <c r="I7" s="608"/>
      <c r="J7" s="609"/>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480"/>
      <c r="CO7" s="63"/>
      <c r="CP7" s="63"/>
      <c r="CQ7" s="654" t="s">
        <v>120</v>
      </c>
      <c r="CR7" s="655"/>
      <c r="CS7" s="658" t="s">
        <v>122</v>
      </c>
      <c r="CT7" s="659"/>
      <c r="CU7" s="659"/>
      <c r="CV7" s="660"/>
      <c r="CW7" s="203"/>
      <c r="CX7" s="497"/>
      <c r="CY7" s="203"/>
      <c r="CZ7" s="203"/>
      <c r="DA7" s="203"/>
      <c r="DB7" s="346"/>
      <c r="DC7" s="216" t="s">
        <v>82</v>
      </c>
      <c r="DD7" s="216"/>
      <c r="DG7" s="166" t="s">
        <v>98</v>
      </c>
      <c r="DH7" s="2" t="b">
        <f>AND(E13=DC5,F13=DD6)</f>
        <v>0</v>
      </c>
      <c r="DO7" s="81" t="s">
        <v>215</v>
      </c>
      <c r="DS7" s="418" t="s">
        <v>179</v>
      </c>
      <c r="ER7" s="345" t="str">
        <f t="shared" si="0"/>
        <v>Mehlich 3 ppm?</v>
      </c>
      <c r="ES7" s="2" t="b">
        <f t="shared" si="1"/>
        <v>0</v>
      </c>
      <c r="ET7" s="420">
        <f>(ET5+8.08)/0.832</f>
        <v>9.7115384615384617</v>
      </c>
      <c r="EU7" s="81">
        <f>IF($ET$2&gt;0, ET7, ET7*-1)</f>
        <v>-9.7115384615384617</v>
      </c>
    </row>
    <row r="8" spans="1:151" ht="37.5" customHeight="1" thickBot="1" x14ac:dyDescent="0.25">
      <c r="A8" s="129"/>
      <c r="B8" s="111"/>
      <c r="C8" s="134"/>
      <c r="D8" s="610"/>
      <c r="E8" s="611"/>
      <c r="F8" s="611"/>
      <c r="G8" s="611"/>
      <c r="H8" s="611"/>
      <c r="I8" s="611"/>
      <c r="J8" s="612"/>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8" t="str">
        <f>DE90</f>
        <v>Nov-Feb</v>
      </c>
      <c r="CR8" s="639"/>
      <c r="CS8" s="645" t="s">
        <v>126</v>
      </c>
      <c r="CT8" s="646"/>
      <c r="CU8" s="646"/>
      <c r="CV8" s="647"/>
      <c r="CW8" s="203"/>
      <c r="CX8" s="497"/>
      <c r="CY8" s="203"/>
      <c r="CZ8" s="203"/>
      <c r="DA8" s="203"/>
      <c r="DB8" s="346"/>
      <c r="DC8" s="1"/>
      <c r="DG8" s="166" t="s">
        <v>99</v>
      </c>
      <c r="DH8" s="2" t="b">
        <f>AND(E13=DC6,F13=DD6)</f>
        <v>0</v>
      </c>
      <c r="DS8" s="418" t="s">
        <v>198</v>
      </c>
      <c r="EA8" s="434" t="s">
        <v>204</v>
      </c>
      <c r="EB8" s="432"/>
      <c r="EC8" s="432"/>
      <c r="ED8" s="432"/>
      <c r="EE8" s="432"/>
      <c r="EF8" s="432"/>
      <c r="EG8" s="432"/>
      <c r="EH8" s="432"/>
      <c r="EI8" s="432"/>
      <c r="EJ8" s="432"/>
      <c r="EK8" s="432"/>
      <c r="ER8" s="345" t="str">
        <f t="shared" si="0"/>
        <v>Mehlich 3 lbs/ac?</v>
      </c>
      <c r="ES8" s="2" t="b">
        <f t="shared" si="1"/>
        <v>0</v>
      </c>
      <c r="ET8" s="420">
        <f>ET7*2</f>
        <v>19.423076923076923</v>
      </c>
      <c r="EU8" s="81">
        <f>IF($ET$2&gt;0, ET8, ET8*-1)</f>
        <v>-19.423076923076923</v>
      </c>
    </row>
    <row r="9" spans="1:151" ht="1.5" customHeight="1" x14ac:dyDescent="0.2">
      <c r="A9" s="129"/>
      <c r="B9" s="1"/>
      <c r="C9" s="138"/>
      <c r="D9" s="301"/>
      <c r="E9" s="301"/>
      <c r="F9" s="301"/>
      <c r="G9" s="301"/>
      <c r="H9" s="301"/>
      <c r="I9" s="301"/>
      <c r="J9" s="301"/>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1"/>
      <c r="CP9" s="1"/>
      <c r="CQ9" s="1"/>
      <c r="CR9" s="485"/>
      <c r="CS9" s="485"/>
      <c r="CT9" s="485"/>
      <c r="CU9" s="485"/>
      <c r="CV9" s="1"/>
      <c r="CW9" s="203"/>
      <c r="CX9" s="497"/>
      <c r="CY9" s="203"/>
      <c r="CZ9" s="203"/>
      <c r="DA9" s="203"/>
      <c r="DB9" s="346"/>
      <c r="DC9" s="1"/>
      <c r="DG9" s="166"/>
    </row>
    <row r="10" spans="1:151" ht="6" customHeight="1" thickBot="1" x14ac:dyDescent="0.25">
      <c r="A10" s="129"/>
      <c r="B10" s="1"/>
      <c r="C10" s="138"/>
      <c r="D10" s="230"/>
      <c r="E10" s="230"/>
      <c r="F10" s="230"/>
      <c r="G10" s="230"/>
      <c r="H10" s="230"/>
      <c r="I10" s="230"/>
      <c r="J10" s="230"/>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1"/>
      <c r="CP10" s="1"/>
      <c r="CQ10" s="1"/>
      <c r="CR10" s="485"/>
      <c r="CS10" s="485"/>
      <c r="CT10" s="485"/>
      <c r="CU10" s="485"/>
      <c r="CV10" s="1"/>
      <c r="CW10" s="203"/>
      <c r="CX10" s="497"/>
      <c r="CY10" s="203"/>
      <c r="CZ10" s="203"/>
      <c r="DA10" s="203"/>
      <c r="DB10" s="353"/>
      <c r="DC10" s="200"/>
      <c r="DD10" s="163"/>
      <c r="DE10" s="154"/>
      <c r="DF10" s="51"/>
      <c r="DG10" s="51"/>
      <c r="DH10" s="51"/>
      <c r="DI10" s="1"/>
      <c r="DJ10" s="1"/>
      <c r="DK10" s="1"/>
      <c r="DL10" s="1"/>
      <c r="DM10" s="1"/>
      <c r="DN10" s="1"/>
      <c r="DO10" s="1"/>
      <c r="DP10" s="200"/>
      <c r="DQ10" s="163"/>
      <c r="DR10" s="51"/>
      <c r="DS10" s="51"/>
      <c r="DT10" s="1"/>
      <c r="DU10" s="1"/>
      <c r="DV10" s="1"/>
      <c r="DW10" s="1"/>
      <c r="DX10" s="1"/>
      <c r="DY10" s="1"/>
      <c r="DZ10" s="1"/>
      <c r="EA10" s="1"/>
      <c r="EB10" s="1"/>
    </row>
    <row r="11" spans="1:151" ht="36" customHeight="1" thickBot="1" x14ac:dyDescent="0.3">
      <c r="A11" s="129"/>
      <c r="B11" s="619"/>
      <c r="C11" s="620"/>
      <c r="D11" s="713" t="s">
        <v>160</v>
      </c>
      <c r="E11" s="714"/>
      <c r="F11" s="715"/>
      <c r="G11" s="623" t="s">
        <v>159</v>
      </c>
      <c r="H11" s="624"/>
      <c r="I11" s="624"/>
      <c r="J11" s="625"/>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1"/>
      <c r="CP11" s="643" t="s">
        <v>166</v>
      </c>
      <c r="CQ11" s="643"/>
      <c r="CR11" s="643"/>
      <c r="CS11" s="643"/>
      <c r="CT11" s="643"/>
      <c r="CU11" s="643"/>
      <c r="CV11" s="643"/>
      <c r="CW11" s="643"/>
      <c r="CX11" s="644"/>
      <c r="CY11" s="322"/>
      <c r="CZ11" s="203"/>
      <c r="DA11" s="203"/>
      <c r="DB11" s="353"/>
      <c r="DC11" s="204" t="s">
        <v>87</v>
      </c>
      <c r="DD11" s="205"/>
      <c r="DE11" s="206"/>
      <c r="DF11" s="204" t="s">
        <v>89</v>
      </c>
      <c r="DG11" s="124"/>
      <c r="DH11" s="124"/>
      <c r="DI11" s="139"/>
      <c r="DJ11" s="212"/>
      <c r="DK11" s="1"/>
      <c r="DL11" s="1"/>
      <c r="DM11" s="284" t="s">
        <v>138</v>
      </c>
      <c r="DN11" s="285"/>
      <c r="DO11" s="285"/>
      <c r="DP11" s="286"/>
      <c r="DQ11" s="163"/>
      <c r="DR11" s="51"/>
      <c r="DS11" s="51"/>
      <c r="DT11" s="1"/>
      <c r="DU11" s="1"/>
      <c r="DV11" s="1"/>
      <c r="DW11" s="1"/>
      <c r="DX11" s="1"/>
      <c r="DY11" s="1"/>
      <c r="DZ11" s="1"/>
      <c r="EA11" s="430"/>
      <c r="EB11" s="431"/>
      <c r="EC11" s="432"/>
      <c r="ED11" s="433" t="s">
        <v>205</v>
      </c>
      <c r="EE11" s="433"/>
      <c r="EF11" s="432"/>
      <c r="EG11" s="434" t="s">
        <v>203</v>
      </c>
      <c r="EH11" s="432"/>
      <c r="EI11" s="432"/>
      <c r="EJ11" s="432"/>
      <c r="EK11" s="432"/>
    </row>
    <row r="12" spans="1:151" ht="34.15" customHeight="1" thickBot="1" x14ac:dyDescent="0.25">
      <c r="A12" s="129"/>
      <c r="B12" s="621"/>
      <c r="C12" s="622"/>
      <c r="D12" s="469" t="s">
        <v>79</v>
      </c>
      <c r="E12" s="470" t="s">
        <v>80</v>
      </c>
      <c r="F12" s="471" t="s">
        <v>152</v>
      </c>
      <c r="G12" s="271" t="s">
        <v>149</v>
      </c>
      <c r="H12" s="272" t="s">
        <v>150</v>
      </c>
      <c r="I12" s="717" t="s">
        <v>193</v>
      </c>
      <c r="J12" s="718"/>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1"/>
      <c r="CT12" s="203"/>
      <c r="CU12" s="1"/>
      <c r="CV12" s="203"/>
      <c r="CW12" s="203"/>
      <c r="CX12" s="497"/>
      <c r="CY12" s="203"/>
      <c r="CZ12" s="203"/>
      <c r="DA12" s="203"/>
      <c r="DB12" s="353"/>
      <c r="DC12" s="207" t="s">
        <v>86</v>
      </c>
      <c r="DD12" s="308" t="s">
        <v>85</v>
      </c>
      <c r="DE12" s="208"/>
      <c r="DF12" s="213" t="s">
        <v>90</v>
      </c>
      <c r="DG12" s="51"/>
      <c r="DH12" s="80"/>
      <c r="DI12" s="1"/>
      <c r="DJ12" s="130"/>
      <c r="DK12" s="1"/>
      <c r="DL12" s="1"/>
      <c r="DM12" s="283" t="s">
        <v>92</v>
      </c>
      <c r="DN12" s="287"/>
      <c r="DO12" s="690" t="s">
        <v>146</v>
      </c>
      <c r="DP12" s="691"/>
      <c r="DQ12" s="282" t="str">
        <f>IF(DN13=TRUE,DO13,IF(DN14=TRUE,DO14,IF(DN15=TRUE,DO15, IF(DN17=TRUE,DO17,"  "))))</f>
        <v>Low</v>
      </c>
      <c r="DR12" s="51"/>
      <c r="DS12" s="51"/>
      <c r="DT12" s="1"/>
      <c r="DU12" s="1"/>
      <c r="DV12" s="1"/>
      <c r="DW12" s="1"/>
      <c r="DX12" s="1"/>
      <c r="DY12" s="1"/>
      <c r="DZ12" s="1"/>
      <c r="EA12" s="430"/>
      <c r="EB12" s="435" t="s">
        <v>201</v>
      </c>
      <c r="EC12" s="436" t="e">
        <f>O42/CQ4*1000</f>
        <v>#DIV/0!</v>
      </c>
      <c r="ED12" s="432" t="str">
        <f>IF(M51=FALSE," ",AND(EC12&lt;EC14))</f>
        <v xml:space="preserve"> </v>
      </c>
      <c r="EE12" s="432"/>
      <c r="EF12" s="432"/>
      <c r="EG12" s="432"/>
      <c r="EH12" s="434" t="s">
        <v>207</v>
      </c>
      <c r="EI12" s="432"/>
      <c r="EJ12" s="432"/>
      <c r="EK12" s="432"/>
    </row>
    <row r="13" spans="1:151" ht="29.25" customHeight="1" thickBot="1" x14ac:dyDescent="0.25">
      <c r="A13" s="129"/>
      <c r="B13" s="270"/>
      <c r="C13" s="386" t="s">
        <v>183</v>
      </c>
      <c r="D13" s="472"/>
      <c r="E13" s="246" t="s">
        <v>85</v>
      </c>
      <c r="F13" s="473" t="s">
        <v>83</v>
      </c>
      <c r="G13" s="467">
        <f>IF(DH6=TRUE, DG28, IF(DH7=TRUE,DC30,IF(DH8=TRUE,DG30, DC28)))</f>
        <v>15</v>
      </c>
      <c r="H13" s="408">
        <f>IF(DH6=TRUE, DG29, IF(DH7=TRUE,DC31,IF(DH8=TRUE,DG31, DC29)))</f>
        <v>30</v>
      </c>
      <c r="I13" s="615" t="str">
        <f>DD32</f>
        <v>Buildup</v>
      </c>
      <c r="J13" s="616"/>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203"/>
      <c r="CT13" s="203"/>
      <c r="CU13" s="203"/>
      <c r="CV13" s="203"/>
      <c r="CW13" s="203"/>
      <c r="CX13" s="497"/>
      <c r="CY13" s="203"/>
      <c r="CZ13" s="203"/>
      <c r="DA13" s="203"/>
      <c r="DB13" s="353"/>
      <c r="DC13" s="155">
        <f>IF($E$13=DC6, D13, D13*2)</f>
        <v>0</v>
      </c>
      <c r="DD13" s="234">
        <f>IF($E$13=DC6, D13/2, D13)</f>
        <v>0</v>
      </c>
      <c r="DE13" s="210"/>
      <c r="DF13" s="214">
        <f>ROUND(IF($F$13=$DD$5, $DD$13, 1.35*$DD$13),0)</f>
        <v>0</v>
      </c>
      <c r="DG13" s="215"/>
      <c r="DH13" s="215"/>
      <c r="DI13" s="142"/>
      <c r="DJ13" s="143"/>
      <c r="DK13" s="1"/>
      <c r="DL13" s="1"/>
      <c r="DM13" s="288" t="s">
        <v>139</v>
      </c>
      <c r="DN13" s="252" t="b">
        <f>AND(DF13&lt;40)</f>
        <v>1</v>
      </c>
      <c r="DO13" s="279" t="s">
        <v>143</v>
      </c>
      <c r="DP13" s="82" t="s">
        <v>226</v>
      </c>
      <c r="DQ13" s="200"/>
      <c r="DR13" s="163"/>
      <c r="DS13" s="51"/>
      <c r="DT13" s="51"/>
      <c r="DU13" s="216">
        <f>IF(DQ12="Low",250,IF(DQ12="Medium",E44,IF(DQ12="High",C44, IF(DQ12="Very High",0,"  "))))</f>
        <v>250</v>
      </c>
      <c r="DV13" s="1"/>
      <c r="DW13" s="1"/>
      <c r="DX13" s="1"/>
      <c r="DY13" s="1"/>
      <c r="DZ13" s="1"/>
      <c r="EA13" s="431"/>
      <c r="EB13" s="437"/>
      <c r="EC13" s="438" t="str">
        <f>IF(DU15= "Single-Year P Application", C44/CU4*1000, " ")</f>
        <v xml:space="preserve"> </v>
      </c>
      <c r="ED13" s="432"/>
      <c r="EE13" s="432"/>
      <c r="EF13" s="432"/>
      <c r="EG13" s="432"/>
      <c r="EH13" s="434"/>
      <c r="EI13" s="432"/>
      <c r="EJ13" s="432"/>
      <c r="EK13" s="432"/>
    </row>
    <row r="14" spans="1:151" ht="23.45" customHeight="1" x14ac:dyDescent="0.25">
      <c r="A14" s="129"/>
      <c r="B14" s="385"/>
      <c r="C14" s="387" t="s">
        <v>184</v>
      </c>
      <c r="D14" s="474"/>
      <c r="E14" s="247" t="s">
        <v>85</v>
      </c>
      <c r="F14" s="475"/>
      <c r="G14" s="468">
        <f>IF($E$14=DC5, DD28, DD28*2)</f>
        <v>75</v>
      </c>
      <c r="H14" s="409">
        <f>IF($E$14=DC5, DD29, DD29*2)</f>
        <v>75</v>
      </c>
      <c r="I14" s="617" t="str">
        <f>DD33</f>
        <v>Buildup</v>
      </c>
      <c r="J14" s="618"/>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203"/>
      <c r="CT14" s="203"/>
      <c r="CU14" s="203"/>
      <c r="CV14" s="203"/>
      <c r="CW14" s="203"/>
      <c r="CX14" s="497"/>
      <c r="CY14" s="203"/>
      <c r="CZ14" s="203"/>
      <c r="DA14" s="203"/>
      <c r="DB14" s="353"/>
      <c r="DC14" s="204" t="s">
        <v>88</v>
      </c>
      <c r="DD14" s="211"/>
      <c r="DE14" s="206"/>
      <c r="DF14" s="235">
        <f>(IF($F$13=$DD$5,$DD$13,1.35*$DD$13))</f>
        <v>0</v>
      </c>
      <c r="DG14" s="51"/>
      <c r="DH14" s="51"/>
      <c r="DI14" s="1"/>
      <c r="DJ14" s="1"/>
      <c r="DK14" s="1"/>
      <c r="DL14" s="1"/>
      <c r="DM14" s="289" t="s">
        <v>140</v>
      </c>
      <c r="DN14" s="1" t="b">
        <f>AND(DF13&gt;39,DF13&lt;101)</f>
        <v>0</v>
      </c>
      <c r="DO14" s="279" t="s">
        <v>144</v>
      </c>
      <c r="DP14" s="82" t="s">
        <v>209</v>
      </c>
      <c r="DQ14" s="200"/>
      <c r="DR14" s="669" t="s">
        <v>148</v>
      </c>
      <c r="DS14" s="669"/>
      <c r="DT14" s="307"/>
      <c r="DU14" s="463">
        <f xml:space="preserve"> IF(DU13&gt;250, 250, DU13)</f>
        <v>250</v>
      </c>
      <c r="DV14" s="1"/>
      <c r="DW14" s="1"/>
      <c r="DX14" s="1"/>
      <c r="DY14" s="1"/>
      <c r="DZ14" s="1"/>
      <c r="EA14" s="431"/>
      <c r="EB14" s="437" t="s">
        <v>202</v>
      </c>
      <c r="EC14" s="438" t="e">
        <f>DU14/CU4*1000</f>
        <v>#DIV/0!</v>
      </c>
      <c r="ED14" s="432" t="e">
        <f>AND(EC12&gt;EC14)</f>
        <v>#DIV/0!</v>
      </c>
      <c r="EE14" s="432"/>
      <c r="EF14" s="432"/>
      <c r="EG14" s="432"/>
      <c r="EH14" s="434" t="s">
        <v>208</v>
      </c>
      <c r="EI14" s="432"/>
      <c r="EJ14" s="432"/>
      <c r="EK14" s="432"/>
    </row>
    <row r="15" spans="1:151" ht="36.75" customHeight="1" thickBot="1" x14ac:dyDescent="0.25">
      <c r="A15" s="129"/>
      <c r="B15" s="613" t="s">
        <v>81</v>
      </c>
      <c r="C15" s="614"/>
      <c r="D15" s="476"/>
      <c r="E15" s="315" t="s">
        <v>82</v>
      </c>
      <c r="F15" s="477"/>
      <c r="G15" s="242"/>
      <c r="H15" s="242"/>
      <c r="I15" s="242"/>
      <c r="J15" s="24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203"/>
      <c r="CT15" s="203"/>
      <c r="CU15" s="203"/>
      <c r="CV15" s="203"/>
      <c r="CW15" s="203"/>
      <c r="CX15" s="497"/>
      <c r="CY15" s="203"/>
      <c r="CZ15" s="203"/>
      <c r="DA15" s="203"/>
      <c r="DB15" s="353"/>
      <c r="DC15" s="207" t="s">
        <v>86</v>
      </c>
      <c r="DD15" s="308" t="s">
        <v>85</v>
      </c>
      <c r="DE15" s="208"/>
      <c r="DF15" s="51"/>
      <c r="DG15" s="51"/>
      <c r="DH15" s="51"/>
      <c r="DI15" s="1"/>
      <c r="DJ15" s="1"/>
      <c r="DK15" s="1"/>
      <c r="DL15" s="1"/>
      <c r="DM15" s="289" t="s">
        <v>141</v>
      </c>
      <c r="DN15" s="1" t="b">
        <f>AND(DF13&gt;100,DF13&lt;151)</f>
        <v>0</v>
      </c>
      <c r="DO15" s="280" t="s">
        <v>145</v>
      </c>
      <c r="DP15" s="82" t="s">
        <v>210</v>
      </c>
      <c r="DQ15" s="200"/>
      <c r="DR15" s="163"/>
      <c r="DS15" s="51"/>
      <c r="DT15" s="51"/>
      <c r="DU15" s="461" t="str">
        <f>IF(DQ12="Low", DP13,IF(DQ12="Medium",DP14,IF(DQ12="High",DP15, IF(DQ12="Very High", DP17,"  "))))</f>
        <v>(Max. 250 lbs P2O5/acre)</v>
      </c>
      <c r="DV15" s="462"/>
      <c r="DW15" s="1"/>
      <c r="DX15" s="1"/>
      <c r="DY15" s="1"/>
      <c r="DZ15" s="1"/>
      <c r="EA15" s="432"/>
      <c r="EB15" s="432"/>
      <c r="EC15" s="432"/>
      <c r="ED15" s="432"/>
      <c r="EE15" s="432"/>
      <c r="EF15" s="432"/>
      <c r="EG15" s="432"/>
      <c r="EH15" s="432"/>
      <c r="EI15" s="432"/>
      <c r="EJ15" s="432"/>
      <c r="EK15" s="432"/>
    </row>
    <row r="16" spans="1:151" ht="6.6" customHeight="1" thickBot="1" x14ac:dyDescent="0.25">
      <c r="A16" s="129"/>
      <c r="B16" s="236"/>
      <c r="C16" s="237"/>
      <c r="D16" s="302"/>
      <c r="E16" s="238"/>
      <c r="F16" s="239"/>
      <c r="G16" s="240"/>
      <c r="H16" s="240"/>
      <c r="I16" s="240"/>
      <c r="J16" s="241"/>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203"/>
      <c r="CT16" s="203"/>
      <c r="CU16" s="203"/>
      <c r="CV16" s="203"/>
      <c r="CW16" s="203"/>
      <c r="CX16" s="497"/>
      <c r="CY16" s="203"/>
      <c r="CZ16" s="203"/>
      <c r="DA16" s="203"/>
      <c r="DB16" s="353"/>
      <c r="DC16" s="207"/>
      <c r="DD16" s="308"/>
      <c r="DE16" s="208"/>
      <c r="DF16" s="51"/>
      <c r="DG16" s="51"/>
      <c r="DH16" s="51"/>
      <c r="DI16" s="1"/>
      <c r="DJ16" s="1"/>
      <c r="DK16" s="1"/>
      <c r="DL16" s="1"/>
      <c r="DM16" s="290"/>
      <c r="DN16" s="1"/>
      <c r="DO16" s="255"/>
      <c r="DP16" s="1"/>
      <c r="DQ16" s="200"/>
      <c r="DR16" s="163"/>
      <c r="DS16" s="51"/>
      <c r="DT16" s="51"/>
      <c r="DU16" s="1"/>
      <c r="DV16" s="1"/>
      <c r="DW16" s="1"/>
      <c r="DX16" s="1"/>
      <c r="DY16" s="1"/>
      <c r="DZ16" s="1"/>
    </row>
    <row r="17" spans="1:132" ht="24.6" customHeight="1" thickBot="1" x14ac:dyDescent="0.25">
      <c r="A17" s="129"/>
      <c r="B17" s="626" t="s">
        <v>113</v>
      </c>
      <c r="C17" s="627"/>
      <c r="D17" s="719">
        <v>43386</v>
      </c>
      <c r="E17" s="720"/>
      <c r="F17" s="411" t="str">
        <f>IF($DL$5&gt;3,"Soil test information is more than 3 years old."," ")</f>
        <v xml:space="preserve"> </v>
      </c>
      <c r="G17" s="240"/>
      <c r="H17" s="240"/>
      <c r="I17" s="240"/>
      <c r="J17" s="241"/>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203"/>
      <c r="CU17" s="203"/>
      <c r="CV17" s="203"/>
      <c r="CW17" s="203"/>
      <c r="CX17" s="497"/>
      <c r="CY17" s="203"/>
      <c r="CZ17" s="203"/>
      <c r="DA17" s="203"/>
      <c r="DB17" s="353"/>
      <c r="DC17" s="155">
        <f>IF($E$14=DC6, D14, D14*2)</f>
        <v>0</v>
      </c>
      <c r="DD17" s="209">
        <f>IF($E$14=DC6, D14/2, D14)</f>
        <v>0</v>
      </c>
      <c r="DE17" s="210"/>
      <c r="DF17" s="51"/>
      <c r="DG17" s="51"/>
      <c r="DH17" s="51"/>
      <c r="DI17" s="1"/>
      <c r="DJ17" s="1"/>
      <c r="DK17" s="1"/>
      <c r="DL17" s="1"/>
      <c r="DM17" s="291" t="s">
        <v>142</v>
      </c>
      <c r="DN17" s="257" t="b">
        <f>AND(DF13&gt;150)</f>
        <v>0</v>
      </c>
      <c r="DO17" s="281" t="s">
        <v>137</v>
      </c>
      <c r="DP17" s="82" t="s">
        <v>206</v>
      </c>
      <c r="DQ17" s="200"/>
      <c r="DR17" s="163"/>
      <c r="DS17" s="51"/>
      <c r="DT17" s="51"/>
      <c r="DU17" s="1"/>
      <c r="DV17" s="1"/>
      <c r="DW17" s="1"/>
      <c r="DX17" s="1"/>
      <c r="DY17" s="1"/>
      <c r="DZ17" s="1"/>
    </row>
    <row r="18" spans="1:132" ht="9" customHeight="1" thickBot="1" x14ac:dyDescent="0.25">
      <c r="A18" s="129"/>
      <c r="B18" s="236"/>
      <c r="C18" s="237"/>
      <c r="D18" s="304"/>
      <c r="E18" s="303"/>
      <c r="F18" s="239"/>
      <c r="G18" s="240"/>
      <c r="H18" s="240"/>
      <c r="I18" s="240"/>
      <c r="J18" s="241"/>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203"/>
      <c r="CU18" s="203"/>
      <c r="CV18" s="203"/>
      <c r="CW18" s="203"/>
      <c r="CX18" s="497"/>
      <c r="CY18" s="203"/>
      <c r="CZ18" s="203"/>
      <c r="DA18" s="203"/>
      <c r="DB18" s="353"/>
      <c r="DC18" s="200"/>
      <c r="DD18" s="308"/>
      <c r="DE18" s="154"/>
      <c r="DF18" s="51"/>
      <c r="DG18" s="51"/>
      <c r="DH18" s="51"/>
      <c r="DI18" s="1"/>
      <c r="DJ18" s="1"/>
      <c r="DK18" s="1"/>
      <c r="DL18" s="1"/>
      <c r="DM18" s="1"/>
      <c r="DO18" s="1"/>
      <c r="DP18" s="200"/>
      <c r="DQ18" s="163"/>
      <c r="DR18" s="51"/>
      <c r="DS18" s="51"/>
      <c r="DT18" s="1"/>
      <c r="DU18" s="1"/>
      <c r="DV18" s="1"/>
      <c r="DW18" s="1"/>
      <c r="DX18" s="1"/>
      <c r="DY18" s="1"/>
    </row>
    <row r="19" spans="1:132" ht="33" customHeight="1" thickBot="1" x14ac:dyDescent="0.25">
      <c r="A19" s="129"/>
      <c r="B19" s="602" t="s">
        <v>185</v>
      </c>
      <c r="C19" s="603"/>
      <c r="D19" s="603"/>
      <c r="E19" s="305" t="str">
        <f>DQ12</f>
        <v>Low</v>
      </c>
      <c r="F19" s="295" t="s">
        <v>151</v>
      </c>
      <c r="G19" s="292"/>
      <c r="H19" s="292"/>
      <c r="I19" s="293"/>
      <c r="J19" s="241"/>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203"/>
      <c r="CU19" s="203"/>
      <c r="CV19" s="203"/>
      <c r="CW19" s="203"/>
      <c r="CX19" s="497"/>
      <c r="CY19" s="203"/>
      <c r="CZ19" s="203"/>
      <c r="DA19" s="203"/>
      <c r="DB19" s="353"/>
      <c r="DJ19" s="1"/>
      <c r="DK19" s="1"/>
      <c r="DL19" s="1"/>
      <c r="DM19" s="1"/>
      <c r="DN19" s="82"/>
      <c r="DO19" s="1"/>
      <c r="DP19" s="200"/>
      <c r="DQ19" s="163"/>
      <c r="DR19" s="51"/>
      <c r="DS19" s="51"/>
      <c r="DT19" s="1"/>
      <c r="DU19" s="1"/>
      <c r="DV19" s="1"/>
      <c r="DW19" s="1"/>
      <c r="DX19" s="1"/>
      <c r="DY19" s="1"/>
    </row>
    <row r="20" spans="1:132" ht="51" customHeight="1" x14ac:dyDescent="0.2">
      <c r="A20" s="129"/>
      <c r="B20" s="1"/>
      <c r="C20" s="699" t="s">
        <v>167</v>
      </c>
      <c r="D20" s="716"/>
      <c r="E20" s="716"/>
      <c r="F20" s="716"/>
      <c r="G20" s="716"/>
      <c r="H20" s="716"/>
      <c r="I20" s="716"/>
      <c r="J20" s="716"/>
      <c r="K20" s="684"/>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203"/>
      <c r="CU20" s="203"/>
      <c r="CV20" s="203"/>
      <c r="CW20" s="203"/>
      <c r="CX20" s="497"/>
      <c r="CY20" s="203"/>
      <c r="CZ20" s="203"/>
      <c r="DA20" s="203"/>
      <c r="DB20" s="353"/>
      <c r="DJ20" s="1"/>
      <c r="DK20" s="1"/>
      <c r="DL20" s="1"/>
      <c r="DM20" s="1"/>
      <c r="DO20" s="1"/>
      <c r="DP20" s="200"/>
      <c r="DQ20" s="163"/>
      <c r="DR20" s="51"/>
      <c r="DS20" s="51"/>
      <c r="DT20" s="1"/>
      <c r="DU20" s="1"/>
      <c r="DV20" s="1"/>
      <c r="DW20" s="1"/>
    </row>
    <row r="21" spans="1:132" ht="48" customHeight="1" x14ac:dyDescent="0.25">
      <c r="A21" s="129"/>
      <c r="B21" s="1"/>
      <c r="C21" s="699" t="s">
        <v>262</v>
      </c>
      <c r="D21" s="699"/>
      <c r="E21" s="699"/>
      <c r="F21" s="699"/>
      <c r="G21" s="699"/>
      <c r="H21" s="699"/>
      <c r="I21" s="699"/>
      <c r="J21" s="699"/>
      <c r="K21" s="699"/>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203"/>
      <c r="CU21" s="203"/>
      <c r="CV21" s="203"/>
      <c r="CW21" s="203"/>
      <c r="CX21" s="497"/>
      <c r="CY21" s="203"/>
      <c r="DA21" s="21"/>
      <c r="DB21" s="354"/>
      <c r="DJ21" s="1"/>
      <c r="DK21" s="1"/>
      <c r="DL21" s="1"/>
      <c r="DN21" s="200"/>
      <c r="DO21" s="163"/>
      <c r="DP21" s="51"/>
      <c r="DQ21" s="1"/>
      <c r="DR21" s="1"/>
      <c r="DS21" s="1"/>
      <c r="DT21" s="1"/>
    </row>
    <row r="22" spans="1:132" ht="19.5" customHeight="1" x14ac:dyDescent="0.25">
      <c r="A22" s="129"/>
      <c r="B22" s="1"/>
      <c r="C22" s="699" t="s">
        <v>153</v>
      </c>
      <c r="D22" s="699"/>
      <c r="E22" s="699"/>
      <c r="F22" s="699"/>
      <c r="G22" s="699"/>
      <c r="H22" s="699"/>
      <c r="I22" s="699"/>
      <c r="J22" s="699"/>
      <c r="K22" s="699"/>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203"/>
      <c r="CU22" s="203"/>
      <c r="CV22" s="203"/>
      <c r="CW22" s="203"/>
      <c r="CX22" s="497"/>
      <c r="CY22" s="203"/>
      <c r="DA22" s="21"/>
      <c r="DB22" s="354"/>
      <c r="DC22" s="51"/>
      <c r="DD22" s="51"/>
      <c r="DE22" s="51"/>
      <c r="DF22" s="51"/>
      <c r="DG22" s="1"/>
      <c r="DH22" s="1"/>
      <c r="DI22" s="1"/>
      <c r="DJ22" s="1"/>
      <c r="DK22" s="1"/>
      <c r="DL22" s="1"/>
      <c r="DN22" s="200"/>
      <c r="DO22" s="163"/>
      <c r="DP22" s="51"/>
      <c r="DQ22" s="1"/>
      <c r="DR22" s="1"/>
      <c r="DS22" s="1"/>
      <c r="DT22" s="1"/>
    </row>
    <row r="23" spans="1:132" ht="23.25" customHeight="1" x14ac:dyDescent="0.25">
      <c r="A23" s="129"/>
      <c r="B23" s="1"/>
      <c r="C23" s="699" t="s">
        <v>263</v>
      </c>
      <c r="D23" s="699"/>
      <c r="E23" s="699"/>
      <c r="F23" s="699"/>
      <c r="G23" s="699"/>
      <c r="H23" s="699"/>
      <c r="I23" s="699"/>
      <c r="J23" s="699"/>
      <c r="K23" s="699"/>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203"/>
      <c r="CU23" s="203"/>
      <c r="CV23" s="203"/>
      <c r="CW23" s="203"/>
      <c r="CX23" s="497"/>
      <c r="CY23" s="203"/>
      <c r="DA23" s="21"/>
      <c r="DB23" s="354"/>
      <c r="DC23" s="51"/>
      <c r="DD23" s="51"/>
      <c r="DE23" s="51"/>
      <c r="DF23" s="51"/>
      <c r="DG23" s="1"/>
      <c r="DH23" s="1"/>
      <c r="DI23" s="1"/>
      <c r="DJ23" s="1"/>
      <c r="DK23" s="1"/>
      <c r="DL23" s="1"/>
      <c r="DN23" s="200"/>
      <c r="DO23" s="163"/>
      <c r="DP23" s="51"/>
      <c r="DQ23" s="1"/>
      <c r="DR23" s="1"/>
      <c r="DS23" s="1"/>
      <c r="DT23" s="1"/>
    </row>
    <row r="24" spans="1:132" ht="3" customHeight="1" thickBot="1" x14ac:dyDescent="0.3">
      <c r="A24" s="129"/>
      <c r="B24" s="1"/>
      <c r="C24" s="479"/>
      <c r="D24" s="480"/>
      <c r="E24" s="480"/>
      <c r="F24" s="480"/>
      <c r="G24" s="480"/>
      <c r="H24" s="480"/>
      <c r="I24" s="480"/>
      <c r="J24" s="480"/>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115"/>
      <c r="CO24" s="63"/>
      <c r="CP24" s="63"/>
      <c r="CQ24" s="63"/>
      <c r="CR24" s="63"/>
      <c r="CS24" s="63"/>
      <c r="CT24" s="203"/>
      <c r="CU24" s="203"/>
      <c r="CV24" s="203"/>
      <c r="CW24" s="203"/>
      <c r="CX24" s="497"/>
      <c r="CY24" s="203"/>
      <c r="DA24" s="21"/>
      <c r="DB24" s="162" t="s">
        <v>32</v>
      </c>
      <c r="DC24" s="51"/>
      <c r="DD24" s="51"/>
      <c r="DE24" s="51"/>
      <c r="DF24" s="51"/>
      <c r="DG24" s="1"/>
      <c r="DH24" s="1"/>
      <c r="DI24" s="1"/>
      <c r="DJ24" s="1"/>
      <c r="DK24" s="1"/>
      <c r="DL24" s="1"/>
      <c r="DN24" s="200"/>
      <c r="DO24" s="163"/>
      <c r="DP24" s="51"/>
      <c r="DQ24" s="1"/>
      <c r="DR24" s="1"/>
      <c r="DS24" s="1"/>
      <c r="DT24" s="1"/>
    </row>
    <row r="25" spans="1:132" ht="49.5" customHeight="1" thickBot="1" x14ac:dyDescent="0.3">
      <c r="A25" s="129"/>
      <c r="B25" s="633" t="s">
        <v>222</v>
      </c>
      <c r="C25" s="634"/>
      <c r="D25" s="634"/>
      <c r="E25" s="634"/>
      <c r="F25" s="634"/>
      <c r="G25" s="634"/>
      <c r="H25" s="634"/>
      <c r="I25" s="634"/>
      <c r="J25" s="635"/>
      <c r="K25" s="1"/>
      <c r="L25" s="151"/>
      <c r="M25" s="1"/>
      <c r="N25" s="231"/>
      <c r="O25" s="636" t="s">
        <v>102</v>
      </c>
      <c r="P25" s="637"/>
      <c r="Q25" s="637"/>
      <c r="R25" s="637"/>
      <c r="S25" s="637"/>
      <c r="T25" s="637"/>
      <c r="U25" s="637"/>
      <c r="V25" s="637"/>
      <c r="W25" s="637"/>
      <c r="X25" s="637"/>
      <c r="Y25" s="490"/>
      <c r="Z25" s="490"/>
      <c r="AA25" s="490"/>
      <c r="AB25" s="490"/>
      <c r="AC25" s="490"/>
      <c r="AD25" s="483"/>
      <c r="AE25" s="679" t="s">
        <v>103</v>
      </c>
      <c r="AF25" s="680"/>
      <c r="AG25" s="680"/>
      <c r="AH25" s="680"/>
      <c r="AI25" s="680"/>
      <c r="AJ25" s="680"/>
      <c r="AK25" s="680"/>
      <c r="AL25" s="680"/>
      <c r="AM25" s="680"/>
      <c r="AN25" s="482" t="s">
        <v>108</v>
      </c>
      <c r="AO25" s="482"/>
      <c r="AP25" s="482"/>
      <c r="AQ25" s="482"/>
      <c r="AR25" s="482"/>
      <c r="AS25" s="489"/>
      <c r="AT25" s="490"/>
      <c r="AU25" s="232" t="s">
        <v>104</v>
      </c>
      <c r="AV25" s="490"/>
      <c r="AW25" s="490"/>
      <c r="AX25" s="490"/>
      <c r="AY25" s="490"/>
      <c r="AZ25" s="490"/>
      <c r="BA25" s="490"/>
      <c r="BB25" s="490" t="s">
        <v>109</v>
      </c>
      <c r="BC25" s="490"/>
      <c r="BD25" s="490"/>
      <c r="BE25" s="490"/>
      <c r="BF25" s="490"/>
      <c r="BG25" s="689" t="s">
        <v>105</v>
      </c>
      <c r="BH25" s="680"/>
      <c r="BI25" s="680"/>
      <c r="BJ25" s="680"/>
      <c r="BK25" s="680"/>
      <c r="BL25" s="680"/>
      <c r="BM25" s="680"/>
      <c r="BN25" s="680"/>
      <c r="BO25" s="680"/>
      <c r="BP25" s="482"/>
      <c r="BQ25" s="482" t="s">
        <v>110</v>
      </c>
      <c r="BR25" s="482"/>
      <c r="BS25" s="482"/>
      <c r="BT25" s="482"/>
      <c r="BU25" s="489"/>
      <c r="BV25" s="490"/>
      <c r="BW25" s="232" t="s">
        <v>106</v>
      </c>
      <c r="BX25" s="490"/>
      <c r="BY25" s="490"/>
      <c r="BZ25" s="490"/>
      <c r="CA25" s="490"/>
      <c r="CB25" s="490"/>
      <c r="CC25" s="490" t="s">
        <v>111</v>
      </c>
      <c r="CD25" s="490"/>
      <c r="CE25" s="490"/>
      <c r="CF25" s="490"/>
      <c r="CG25" s="490"/>
      <c r="CH25" s="490"/>
      <c r="CI25" s="298"/>
      <c r="CJ25" s="347"/>
      <c r="CK25" s="347"/>
      <c r="CL25" s="600" t="s">
        <v>107</v>
      </c>
      <c r="CM25" s="601"/>
      <c r="CN25" s="115"/>
      <c r="CO25" s="640" t="s">
        <v>174</v>
      </c>
      <c r="CP25" s="641"/>
      <c r="CQ25" s="641"/>
      <c r="CR25" s="641"/>
      <c r="CS25" s="641"/>
      <c r="CT25" s="641"/>
      <c r="CU25" s="641"/>
      <c r="CV25" s="641"/>
      <c r="CW25" s="641"/>
      <c r="CX25" s="642"/>
      <c r="DA25" s="1"/>
      <c r="DB25" s="125" t="s">
        <v>34</v>
      </c>
      <c r="DC25" s="126" t="s">
        <v>53</v>
      </c>
      <c r="DD25" s="160" t="s">
        <v>66</v>
      </c>
      <c r="DE25" s="1"/>
      <c r="DF25" s="1"/>
      <c r="DG25" s="1"/>
      <c r="DH25" s="1"/>
      <c r="DI25" s="1"/>
      <c r="DJ25" s="1"/>
      <c r="DK25" s="1"/>
      <c r="DL25" s="1"/>
      <c r="DM25" s="86" t="s">
        <v>36</v>
      </c>
      <c r="DN25" s="86" t="s">
        <v>35</v>
      </c>
      <c r="DO25" s="88" t="s">
        <v>67</v>
      </c>
      <c r="DP25" s="87" t="s">
        <v>68</v>
      </c>
      <c r="DQ25" s="87" t="s">
        <v>71</v>
      </c>
      <c r="DR25" s="87" t="s">
        <v>73</v>
      </c>
      <c r="DS25" s="87"/>
      <c r="EA25" s="81"/>
      <c r="EB25" s="81"/>
    </row>
    <row r="26" spans="1:132" ht="19.5" customHeight="1" thickBot="1" x14ac:dyDescent="0.3">
      <c r="A26" s="129"/>
      <c r="B26" s="486"/>
      <c r="C26" s="487"/>
      <c r="D26" s="487"/>
      <c r="E26" s="488"/>
      <c r="F26" s="389"/>
      <c r="G26" s="412"/>
      <c r="H26" s="449" t="s">
        <v>181</v>
      </c>
      <c r="I26" s="413">
        <f>SUM(M51:Q51)</f>
        <v>0</v>
      </c>
      <c r="J26" s="414" t="s">
        <v>115</v>
      </c>
      <c r="K26" s="1"/>
      <c r="L26" s="151"/>
      <c r="M26" s="1"/>
      <c r="N26" s="323"/>
      <c r="O26" s="298"/>
      <c r="P26" s="298"/>
      <c r="Q26" s="298"/>
      <c r="R26" s="298"/>
      <c r="S26" s="298"/>
      <c r="T26" s="298"/>
      <c r="U26" s="298"/>
      <c r="V26" s="298"/>
      <c r="W26" s="298"/>
      <c r="X26" s="298"/>
      <c r="Y26" s="298"/>
      <c r="Z26" s="298"/>
      <c r="AA26" s="298"/>
      <c r="AB26" s="298"/>
      <c r="AC26" s="298"/>
      <c r="AD26" s="298"/>
      <c r="AE26" s="324"/>
      <c r="AF26" s="324"/>
      <c r="AG26" s="324"/>
      <c r="AH26" s="324"/>
      <c r="AI26" s="324"/>
      <c r="AJ26" s="324"/>
      <c r="AK26" s="324"/>
      <c r="AL26" s="324"/>
      <c r="AM26" s="324"/>
      <c r="AN26" s="324"/>
      <c r="AO26" s="324"/>
      <c r="AP26" s="324"/>
      <c r="AQ26" s="324"/>
      <c r="AR26" s="324"/>
      <c r="AS26" s="325"/>
      <c r="AT26" s="298"/>
      <c r="AU26" s="326"/>
      <c r="AV26" s="298"/>
      <c r="AW26" s="327"/>
      <c r="AX26" s="298"/>
      <c r="AY26" s="327"/>
      <c r="AZ26" s="327"/>
      <c r="BA26" s="327"/>
      <c r="BB26" s="327"/>
      <c r="BC26" s="327"/>
      <c r="BD26" s="327"/>
      <c r="BE26" s="298"/>
      <c r="BF26" s="298"/>
      <c r="BG26" s="328"/>
      <c r="BH26" s="324"/>
      <c r="BI26" s="324"/>
      <c r="BJ26" s="324"/>
      <c r="BK26" s="329"/>
      <c r="BL26" s="324"/>
      <c r="BM26" s="329"/>
      <c r="BN26" s="329"/>
      <c r="BO26" s="329"/>
      <c r="BP26" s="329"/>
      <c r="BQ26" s="329"/>
      <c r="BR26" s="329"/>
      <c r="BS26" s="324"/>
      <c r="BT26" s="324"/>
      <c r="BU26" s="325"/>
      <c r="BV26" s="298"/>
      <c r="BW26" s="326"/>
      <c r="BX26" s="298"/>
      <c r="BY26" s="327"/>
      <c r="BZ26" s="298"/>
      <c r="CA26" s="327"/>
      <c r="CB26" s="327"/>
      <c r="CC26" s="327"/>
      <c r="CD26" s="327"/>
      <c r="CE26" s="327"/>
      <c r="CF26" s="327"/>
      <c r="CG26" s="298"/>
      <c r="CH26" s="298"/>
      <c r="CI26" s="298"/>
      <c r="CJ26" s="347"/>
      <c r="CK26" s="347"/>
      <c r="CL26" s="330"/>
      <c r="CM26" s="331"/>
      <c r="CN26" s="115"/>
      <c r="CO26" s="140"/>
      <c r="CP26" s="1"/>
      <c r="CQ26" s="382"/>
      <c r="CR26" s="1"/>
      <c r="CS26" s="19"/>
      <c r="CT26" s="19"/>
      <c r="CU26" s="19"/>
      <c r="CV26" s="19"/>
      <c r="CW26" s="348"/>
      <c r="CX26" s="360"/>
      <c r="DA26" s="1"/>
      <c r="DB26" s="125"/>
      <c r="DC26" s="332"/>
      <c r="DD26" s="160"/>
      <c r="DE26" s="1"/>
      <c r="DF26" s="1"/>
      <c r="DG26" s="1"/>
      <c r="DH26" s="1"/>
      <c r="DI26" s="1"/>
      <c r="DJ26" s="1"/>
      <c r="DK26" s="1"/>
      <c r="DL26" s="1"/>
      <c r="DM26" s="86"/>
      <c r="DN26" s="86"/>
      <c r="DO26" s="88"/>
      <c r="DP26" s="87"/>
      <c r="DQ26" s="87"/>
      <c r="DR26" s="87"/>
      <c r="DS26" s="87"/>
      <c r="EA26" s="81"/>
      <c r="EB26" s="81"/>
    </row>
    <row r="27" spans="1:132" ht="34.5" customHeight="1" thickBot="1" x14ac:dyDescent="0.35">
      <c r="A27" s="129"/>
      <c r="B27" s="630" t="s">
        <v>20</v>
      </c>
      <c r="C27" s="631"/>
      <c r="D27" s="631"/>
      <c r="E27" s="632"/>
      <c r="F27" s="316" t="s">
        <v>187</v>
      </c>
      <c r="G27" s="273" t="s">
        <v>26</v>
      </c>
      <c r="H27" s="273" t="s">
        <v>27</v>
      </c>
      <c r="I27" s="273" t="s">
        <v>28</v>
      </c>
      <c r="J27" s="274" t="s">
        <v>29</v>
      </c>
      <c r="K27" s="1"/>
      <c r="L27" s="151"/>
      <c r="M27" s="49" t="s">
        <v>25</v>
      </c>
      <c r="N27" s="50" t="s">
        <v>24</v>
      </c>
      <c r="O27" s="320" t="s">
        <v>163</v>
      </c>
      <c r="P27" s="320" t="s">
        <v>164</v>
      </c>
      <c r="Q27" s="106" t="s">
        <v>49</v>
      </c>
      <c r="R27" s="105" t="s">
        <v>37</v>
      </c>
      <c r="S27" s="105" t="s">
        <v>38</v>
      </c>
      <c r="T27" s="105" t="s">
        <v>39</v>
      </c>
      <c r="U27" s="105" t="s">
        <v>42</v>
      </c>
      <c r="V27" s="105" t="s">
        <v>42</v>
      </c>
      <c r="W27" s="107" t="s">
        <v>41</v>
      </c>
      <c r="X27" s="108" t="s">
        <v>48</v>
      </c>
      <c r="Y27" s="109" t="s">
        <v>40</v>
      </c>
      <c r="Z27" s="105" t="s">
        <v>43</v>
      </c>
      <c r="AA27" s="105" t="s">
        <v>44</v>
      </c>
      <c r="AB27" s="105" t="s">
        <v>45</v>
      </c>
      <c r="AC27" s="105" t="s">
        <v>45</v>
      </c>
      <c r="AD27" s="107" t="s">
        <v>46</v>
      </c>
      <c r="AE27" s="106" t="s">
        <v>49</v>
      </c>
      <c r="AF27" s="105" t="s">
        <v>37</v>
      </c>
      <c r="AG27" s="105" t="s">
        <v>38</v>
      </c>
      <c r="AH27" s="105" t="s">
        <v>39</v>
      </c>
      <c r="AI27" s="105" t="s">
        <v>42</v>
      </c>
      <c r="AJ27" s="105" t="s">
        <v>42</v>
      </c>
      <c r="AK27" s="107" t="s">
        <v>41</v>
      </c>
      <c r="AL27" s="108" t="s">
        <v>48</v>
      </c>
      <c r="AM27" s="109" t="s">
        <v>40</v>
      </c>
      <c r="AN27" s="105" t="s">
        <v>43</v>
      </c>
      <c r="AO27" s="105" t="s">
        <v>44</v>
      </c>
      <c r="AP27" s="105" t="s">
        <v>45</v>
      </c>
      <c r="AQ27" s="105" t="s">
        <v>45</v>
      </c>
      <c r="AR27" s="107" t="s">
        <v>46</v>
      </c>
      <c r="AS27" s="112" t="s">
        <v>49</v>
      </c>
      <c r="AT27" s="105" t="s">
        <v>37</v>
      </c>
      <c r="AU27" s="105" t="s">
        <v>38</v>
      </c>
      <c r="AV27" s="105" t="s">
        <v>39</v>
      </c>
      <c r="AW27" s="94" t="s">
        <v>42</v>
      </c>
      <c r="AX27" s="105" t="s">
        <v>42</v>
      </c>
      <c r="AY27" s="103" t="s">
        <v>41</v>
      </c>
      <c r="AZ27" s="89" t="s">
        <v>48</v>
      </c>
      <c r="BA27" s="113" t="s">
        <v>40</v>
      </c>
      <c r="BB27" s="94" t="s">
        <v>43</v>
      </c>
      <c r="BC27" s="94" t="s">
        <v>44</v>
      </c>
      <c r="BD27" s="94" t="s">
        <v>45</v>
      </c>
      <c r="BE27" s="105" t="s">
        <v>45</v>
      </c>
      <c r="BF27" s="107" t="s">
        <v>46</v>
      </c>
      <c r="BG27" s="112" t="s">
        <v>49</v>
      </c>
      <c r="BH27" s="105" t="s">
        <v>37</v>
      </c>
      <c r="BI27" s="105" t="s">
        <v>38</v>
      </c>
      <c r="BJ27" s="105" t="s">
        <v>39</v>
      </c>
      <c r="BK27" s="94" t="s">
        <v>42</v>
      </c>
      <c r="BL27" s="105" t="s">
        <v>42</v>
      </c>
      <c r="BM27" s="103" t="s">
        <v>41</v>
      </c>
      <c r="BN27" s="89" t="s">
        <v>48</v>
      </c>
      <c r="BO27" s="113" t="s">
        <v>40</v>
      </c>
      <c r="BP27" s="94" t="s">
        <v>43</v>
      </c>
      <c r="BQ27" s="94" t="s">
        <v>44</v>
      </c>
      <c r="BR27" s="94" t="s">
        <v>45</v>
      </c>
      <c r="BS27" s="105" t="s">
        <v>45</v>
      </c>
      <c r="BT27" s="107" t="s">
        <v>46</v>
      </c>
      <c r="BU27" s="112" t="s">
        <v>49</v>
      </c>
      <c r="BV27" s="105" t="s">
        <v>37</v>
      </c>
      <c r="BW27" s="105" t="s">
        <v>38</v>
      </c>
      <c r="BX27" s="105" t="s">
        <v>39</v>
      </c>
      <c r="BY27" s="94" t="s">
        <v>42</v>
      </c>
      <c r="BZ27" s="105" t="s">
        <v>42</v>
      </c>
      <c r="CA27" s="103" t="s">
        <v>41</v>
      </c>
      <c r="CB27" s="89" t="s">
        <v>48</v>
      </c>
      <c r="CC27" s="113" t="s">
        <v>40</v>
      </c>
      <c r="CD27" s="94" t="s">
        <v>43</v>
      </c>
      <c r="CE27" s="94" t="s">
        <v>44</v>
      </c>
      <c r="CF27" s="94" t="s">
        <v>45</v>
      </c>
      <c r="CG27" s="105" t="s">
        <v>45</v>
      </c>
      <c r="CH27" s="107" t="s">
        <v>46</v>
      </c>
      <c r="CI27" s="299"/>
      <c r="CJ27" s="347"/>
      <c r="CK27" s="347"/>
      <c r="CL27" s="112" t="s">
        <v>50</v>
      </c>
      <c r="CM27" s="121" t="s">
        <v>51</v>
      </c>
      <c r="CN27" s="349"/>
      <c r="CO27" s="140"/>
      <c r="CP27" s="43"/>
      <c r="CQ27" s="43"/>
      <c r="CR27" s="43"/>
      <c r="CS27" s="374"/>
      <c r="CT27" s="319">
        <f>CP28/0.82</f>
        <v>0</v>
      </c>
      <c r="CU27" s="582" t="s">
        <v>227</v>
      </c>
      <c r="CV27" s="580"/>
      <c r="CW27" s="581"/>
      <c r="CX27" s="130"/>
      <c r="CZ27" s="1"/>
      <c r="DA27" s="62"/>
      <c r="DB27" s="227">
        <f>D15</f>
        <v>0</v>
      </c>
      <c r="DC27" s="228">
        <f>DF13</f>
        <v>0</v>
      </c>
      <c r="DD27" s="229">
        <f>DD17</f>
        <v>0</v>
      </c>
      <c r="DE27" s="1"/>
      <c r="DF27" s="1"/>
      <c r="DG27" s="1"/>
      <c r="DH27" s="1"/>
      <c r="DI27" s="42"/>
      <c r="DJ27" s="670"/>
      <c r="DK27" s="670"/>
      <c r="DL27" s="84" t="s">
        <v>47</v>
      </c>
      <c r="DM27" s="175">
        <v>15</v>
      </c>
      <c r="DN27" s="83">
        <f>DM27-$DC$27</f>
        <v>15</v>
      </c>
      <c r="DO27" s="169">
        <v>30</v>
      </c>
      <c r="DP27" s="82">
        <f>DO27-$DC$27</f>
        <v>30</v>
      </c>
      <c r="DQ27" s="1">
        <v>40</v>
      </c>
      <c r="DR27" s="171">
        <f>DQ27-$DC$27</f>
        <v>40</v>
      </c>
      <c r="DS27" s="171"/>
      <c r="DT27" s="2" t="str">
        <f>IF($DN$27&gt;0,"Buildup",IF($DP$27&gt;-1,"Maintenance",IF($DR$27&gt;0,"Drawdown","No Recommendation")))</f>
        <v>Buildup</v>
      </c>
      <c r="DU27" s="167" t="s">
        <v>100</v>
      </c>
      <c r="DV27" s="167"/>
      <c r="DX27" s="42"/>
      <c r="DY27" s="42"/>
    </row>
    <row r="28" spans="1:132" ht="25.15" customHeight="1" thickBot="1" x14ac:dyDescent="0.3">
      <c r="A28" s="129"/>
      <c r="B28" s="666" t="s">
        <v>59</v>
      </c>
      <c r="C28" s="667"/>
      <c r="D28" s="667"/>
      <c r="E28" s="668"/>
      <c r="F28" s="440"/>
      <c r="G28" s="440"/>
      <c r="H28" s="440"/>
      <c r="I28" s="440"/>
      <c r="J28" s="455"/>
      <c r="K28" s="1"/>
      <c r="L28" s="478"/>
      <c r="M28" s="65">
        <f>(-27+(1.36*F28))</f>
        <v>-27</v>
      </c>
      <c r="N28" s="66">
        <f>IF(M28&gt;220,220,M28)</f>
        <v>-27</v>
      </c>
      <c r="O28" s="69">
        <f t="shared" ref="O28:O38" si="2">IF(N28&lt;1,0,N28)</f>
        <v>0</v>
      </c>
      <c r="P28" s="69">
        <f t="shared" ref="P28:P33" si="3">O28</f>
        <v>0</v>
      </c>
      <c r="Q28" s="70">
        <f>0.37*F28</f>
        <v>0</v>
      </c>
      <c r="R28" s="102">
        <f t="shared" ref="R28:R35" si="4">($DM$27-$DC$27)*5+Q28</f>
        <v>75</v>
      </c>
      <c r="S28" s="90">
        <f>Q28</f>
        <v>0</v>
      </c>
      <c r="T28" s="102">
        <f t="shared" ref="T28:T35" si="5">Q28-(Q28*($DC$27-($DM$27+15))/10)</f>
        <v>0</v>
      </c>
      <c r="U28" s="90">
        <f t="shared" ref="U28:U35" si="6">IF($DT$27="Maintenance",S28,IF($DT$27="Drawdown", T28, IF($DT$27="No more P",0,R28)))</f>
        <v>75</v>
      </c>
      <c r="V28" s="118">
        <f t="shared" ref="V28:V39" si="7">IF(F28=0,0,U28)</f>
        <v>0</v>
      </c>
      <c r="W28" s="104">
        <f>IF(V28&lt;1,0,U28)</f>
        <v>0</v>
      </c>
      <c r="X28" s="96">
        <f>0.27*F28</f>
        <v>0</v>
      </c>
      <c r="Y28" s="75">
        <f t="shared" ref="Y28:Y39" si="8">(($DM$29-$DD$27)*(1+(0.05*$DB$27)))+X28+20</f>
        <v>95</v>
      </c>
      <c r="Z28" s="75">
        <f>X28+20</f>
        <v>20</v>
      </c>
      <c r="AA28" s="75">
        <f>(X28)+20-(((X28)+20)*($DD$27-($DM$29+30))/20)</f>
        <v>125</v>
      </c>
      <c r="AB28" s="75">
        <f>IF($DT$29="Maintenance",Z28,IF($DT$29="Drawdown", AA28, IF($DT$29="No more K",0,Y28)))</f>
        <v>95</v>
      </c>
      <c r="AC28" s="118">
        <f t="shared" ref="AC28:AC37" si="9">IF(F28=0,0,AB28)</f>
        <v>0</v>
      </c>
      <c r="AD28" s="104">
        <f>IF(AC28&lt;1,0,AB28)</f>
        <v>0</v>
      </c>
      <c r="AE28" s="70">
        <f>0.37*G28</f>
        <v>0</v>
      </c>
      <c r="AF28" s="102">
        <f t="shared" ref="AF28:AF35" si="10">($DM$27-$DC$27)*5+AE28</f>
        <v>75</v>
      </c>
      <c r="AG28" s="90">
        <f>AE28</f>
        <v>0</v>
      </c>
      <c r="AH28" s="102">
        <f t="shared" ref="AH28:AH35" si="11">AE28-(AE28*($DC$27-($DM$27+15))/10)</f>
        <v>0</v>
      </c>
      <c r="AI28" s="90">
        <f t="shared" ref="AI28:AI35" si="12">IF($DT$27="Maintenance",AG28,IF($DT$27="Drawdown", AH28, IF($DT$27="No more P",0,AF28)))</f>
        <v>75</v>
      </c>
      <c r="AJ28" s="118">
        <f t="shared" ref="AJ28:AJ39" si="13">IF(G28=0,0,AI28)</f>
        <v>0</v>
      </c>
      <c r="AK28" s="104">
        <f>IF(AJ28&lt;1,0,AI28)</f>
        <v>0</v>
      </c>
      <c r="AL28" s="96">
        <f>0.27*G28</f>
        <v>0</v>
      </c>
      <c r="AM28" s="75">
        <f>($DN$29*(1+(0.05*$DB$27)))+AL28+20</f>
        <v>95</v>
      </c>
      <c r="AN28" s="75">
        <f>AL28+20</f>
        <v>20</v>
      </c>
      <c r="AO28" s="75">
        <f>(AL28)+20-(((AL28)+20)*($DD$27-($DM$29+30))/20)</f>
        <v>125</v>
      </c>
      <c r="AP28" s="75">
        <f>IF($DT$29="Maintenance",AN28,IF($DT$29="Drawdown", AO28, IF($DT$29="No more K",0,AM28)))</f>
        <v>95</v>
      </c>
      <c r="AQ28" s="118">
        <f t="shared" ref="AQ28:AQ37" si="14">IF(G28=0,0,AP28)</f>
        <v>0</v>
      </c>
      <c r="AR28" s="104">
        <f>IF(AQ28&lt;1,0,AP28)</f>
        <v>0</v>
      </c>
      <c r="AS28" s="76">
        <f>0.37*H28</f>
        <v>0</v>
      </c>
      <c r="AT28" s="102">
        <f t="shared" ref="AT28:AT35" si="15">($DM$27-$DC$27)*5+AS28</f>
        <v>75</v>
      </c>
      <c r="AU28" s="90">
        <f>AS28</f>
        <v>0</v>
      </c>
      <c r="AV28" s="102">
        <f t="shared" ref="AV28:AV35" si="16">AS28-(AS28*($DC$27-($DM$27+15))/10)</f>
        <v>0</v>
      </c>
      <c r="AW28" s="90">
        <f t="shared" ref="AW28:AW35" si="17">IF($DT$27="Maintenance",AU28,IF($DT$27="Drawdown", AV28, IF($DT$27="No more P",0,AT28)))</f>
        <v>75</v>
      </c>
      <c r="AX28" s="118">
        <f t="shared" ref="AX28:AX39" si="18">IF(H28=0,0,AW28)</f>
        <v>0</v>
      </c>
      <c r="AY28" s="104">
        <f>IF(AX28&lt;1,0,AW28)</f>
        <v>0</v>
      </c>
      <c r="AZ28" s="96">
        <f>0.27*H28</f>
        <v>0</v>
      </c>
      <c r="BA28" s="75">
        <f>($DN$29*(1+(0.05*$DB$27)))+AZ28+20</f>
        <v>95</v>
      </c>
      <c r="BB28" s="75">
        <f>AZ28+20</f>
        <v>20</v>
      </c>
      <c r="BC28" s="75">
        <f>(AZ28)+20-(((AZ28)+20)*($DD$27-($DM$29+30))/20)</f>
        <v>125</v>
      </c>
      <c r="BD28" s="75">
        <f>IF($DT$29="Maintenance",BB28,IF($DT$29="Drawdown", BC28, IF($DT$29="No more K",0,BA28)))</f>
        <v>95</v>
      </c>
      <c r="BE28" s="118">
        <f t="shared" ref="BE28:BE37" si="19">IF(H28=0,0,BD28)</f>
        <v>0</v>
      </c>
      <c r="BF28" s="104">
        <f>IF(BE28&lt;1,0,BD28)</f>
        <v>0</v>
      </c>
      <c r="BG28" s="76">
        <f>0.37*I28</f>
        <v>0</v>
      </c>
      <c r="BH28" s="102">
        <f t="shared" ref="BH28:BH35" si="20">($DM$27-$DC$27)*5+BG28</f>
        <v>75</v>
      </c>
      <c r="BI28" s="90">
        <f>BG28</f>
        <v>0</v>
      </c>
      <c r="BJ28" s="102">
        <f t="shared" ref="BJ28:BJ35" si="21">BG28-(BG28*($DC$27-($DM$27+15))/10)</f>
        <v>0</v>
      </c>
      <c r="BK28" s="90">
        <f t="shared" ref="BK28:BK35" si="22">IF($DT$27="Maintenance",BI28,IF($DT$27="Drawdown", BJ28, IF($DT$27="No more P",0,BH28)))</f>
        <v>75</v>
      </c>
      <c r="BL28" s="118">
        <f t="shared" ref="BL28:BL39" si="23">IF(I28=0,0,BK28)</f>
        <v>0</v>
      </c>
      <c r="BM28" s="104">
        <f>IF(BL28&lt;1,0,BK28)</f>
        <v>0</v>
      </c>
      <c r="BN28" s="96">
        <f>0.27*I28</f>
        <v>0</v>
      </c>
      <c r="BO28" s="75">
        <f>($DN$29*(1+(0.05*$DB$27)))+BN28+20</f>
        <v>95</v>
      </c>
      <c r="BP28" s="75">
        <f>BN28+20</f>
        <v>20</v>
      </c>
      <c r="BQ28" s="75">
        <f>(BN28)+20-(((BN28)+20)*($DD$27-($DM$29+30))/20)</f>
        <v>125</v>
      </c>
      <c r="BR28" s="75">
        <f>IF($DT$29="Maintenance",BP28,IF($DT$29="Drawdown", BQ28, IF($DT$29="No more K",0,BO28)))</f>
        <v>95</v>
      </c>
      <c r="BS28" s="118">
        <f t="shared" ref="BS28:BS37" si="24">IF(I28=0,0,BR28)</f>
        <v>0</v>
      </c>
      <c r="BT28" s="104">
        <f>IF(BS28&lt;1,0,BR28)</f>
        <v>0</v>
      </c>
      <c r="BU28" s="76">
        <f>0.37*J28</f>
        <v>0</v>
      </c>
      <c r="BV28" s="102">
        <f t="shared" ref="BV28:BV35" si="25">($DM$27-$DC$27)*5+BU28</f>
        <v>75</v>
      </c>
      <c r="BW28" s="90">
        <f>BU28</f>
        <v>0</v>
      </c>
      <c r="BX28" s="102">
        <f t="shared" ref="BX28:BX35" si="26">BU28-(BU28*($DC$27-($DM$27+15))/10)</f>
        <v>0</v>
      </c>
      <c r="BY28" s="90">
        <f t="shared" ref="BY28:BY35" si="27">IF($DT$27="Maintenance",BW28,IF($DT$27="Drawdown", BX28, IF($DT$27="No more P",0,BV28)))</f>
        <v>75</v>
      </c>
      <c r="BZ28" s="118">
        <f t="shared" ref="BZ28:BZ39" si="28">IF(J28=0,0,BY28)</f>
        <v>0</v>
      </c>
      <c r="CA28" s="104">
        <f>IF(BZ28&lt;1,0,BY28)</f>
        <v>0</v>
      </c>
      <c r="CB28" s="96">
        <f>0.27*J28</f>
        <v>0</v>
      </c>
      <c r="CC28" s="75">
        <f>($DN$29*(1+(0.05*$DB$27)))+CB28+20</f>
        <v>95</v>
      </c>
      <c r="CD28" s="75">
        <f>CB28+20</f>
        <v>20</v>
      </c>
      <c r="CE28" s="75">
        <f>(CB28)+20-(((CB28)+20)*($DD$27-($DM$29+30))/20)</f>
        <v>125</v>
      </c>
      <c r="CF28" s="75">
        <f>IF($DT$29="Maintenance",CD28,IF($DT$29="Drawdown", CE28, IF($DT$29="No more K",0,CC28)))</f>
        <v>95</v>
      </c>
      <c r="CG28" s="118">
        <f t="shared" ref="CG28:CG37" si="29">IF(J28=0,0,CF28)</f>
        <v>0</v>
      </c>
      <c r="CH28" s="104">
        <f>IF(CG28&lt;1,0,CF28)</f>
        <v>0</v>
      </c>
      <c r="CI28" s="115"/>
      <c r="CJ28" s="115"/>
      <c r="CK28" s="119"/>
      <c r="CL28" s="193">
        <f t="shared" ref="CL28:CL39" si="30">W28+AK28+AY28+BM28+CA28</f>
        <v>0</v>
      </c>
      <c r="CM28" s="71">
        <f t="shared" ref="CM28:CM39" si="31">AD28+AR28+BF28+BT28+CH28</f>
        <v>0</v>
      </c>
      <c r="CN28" s="34"/>
      <c r="CO28" s="140"/>
      <c r="CP28" s="144">
        <f>IF(CR52&lt;0,0,CR52)</f>
        <v>0</v>
      </c>
      <c r="CQ28" s="570" t="s">
        <v>176</v>
      </c>
      <c r="CR28" s="571"/>
      <c r="CS28" s="375"/>
      <c r="CT28" s="673" t="s">
        <v>65</v>
      </c>
      <c r="CU28" s="673"/>
      <c r="CV28" s="673"/>
      <c r="CW28" s="673"/>
      <c r="CX28" s="130"/>
      <c r="DA28" s="82"/>
      <c r="DB28" s="136" t="s">
        <v>54</v>
      </c>
      <c r="DC28" s="127">
        <f>IF(DK30="Wheat, Alfalfa, Grasses", DM28, DM27)</f>
        <v>15</v>
      </c>
      <c r="DD28" s="135">
        <f>IF(DK31="Grain Rotation", DM29, DM30)</f>
        <v>75</v>
      </c>
      <c r="DE28" s="83" t="s">
        <v>92</v>
      </c>
      <c r="DF28" s="6"/>
      <c r="DG28" s="310">
        <f>DC28*2</f>
        <v>30</v>
      </c>
      <c r="DH28" s="81" t="s">
        <v>58</v>
      </c>
      <c r="DJ28" s="1"/>
      <c r="DK28" s="42"/>
      <c r="DL28" s="84" t="s">
        <v>47</v>
      </c>
      <c r="DM28" s="175">
        <v>25</v>
      </c>
      <c r="DN28" s="83">
        <f>DM28-$DC$27</f>
        <v>25</v>
      </c>
      <c r="DO28" s="169">
        <v>40</v>
      </c>
      <c r="DP28" s="82">
        <f>DO28-$DC$27</f>
        <v>40</v>
      </c>
      <c r="DQ28" s="1">
        <v>50</v>
      </c>
      <c r="DR28" s="171">
        <f>DQ28-$DC$27</f>
        <v>50</v>
      </c>
      <c r="DS28" s="171"/>
      <c r="DT28" s="2" t="str">
        <f>IF($DN$28&gt;0,"Buildup",IF($DP$28&gt;-1,"Maintenance",IF($DR$28&gt;0,"Drawdown","No Recommendation")))</f>
        <v>Buildup</v>
      </c>
      <c r="DU28" s="81" t="s">
        <v>101</v>
      </c>
      <c r="DV28" s="81"/>
      <c r="DX28" s="42"/>
      <c r="DY28" s="42"/>
    </row>
    <row r="29" spans="1:132" ht="30.75" customHeight="1" thickBot="1" x14ac:dyDescent="0.3">
      <c r="A29" s="129"/>
      <c r="B29" s="663" t="s">
        <v>60</v>
      </c>
      <c r="C29" s="664"/>
      <c r="D29" s="664"/>
      <c r="E29" s="665"/>
      <c r="F29" s="441"/>
      <c r="G29" s="442"/>
      <c r="H29" s="442"/>
      <c r="I29" s="442"/>
      <c r="J29" s="456"/>
      <c r="K29" s="1"/>
      <c r="L29" s="478"/>
      <c r="M29" s="177">
        <f>(-27+(1.36*F29)-30)</f>
        <v>-57</v>
      </c>
      <c r="N29" s="178">
        <f>IF(M29&gt;190,190,M29)</f>
        <v>-57</v>
      </c>
      <c r="O29" s="72">
        <f t="shared" si="2"/>
        <v>0</v>
      </c>
      <c r="P29" s="72">
        <f t="shared" si="3"/>
        <v>0</v>
      </c>
      <c r="Q29" s="179">
        <f>0.37*F29</f>
        <v>0</v>
      </c>
      <c r="R29" s="73">
        <f t="shared" si="4"/>
        <v>75</v>
      </c>
      <c r="S29" s="73">
        <f>Q29</f>
        <v>0</v>
      </c>
      <c r="T29" s="73">
        <f t="shared" si="5"/>
        <v>0</v>
      </c>
      <c r="U29" s="75">
        <f t="shared" si="6"/>
        <v>75</v>
      </c>
      <c r="V29" s="91">
        <f t="shared" si="7"/>
        <v>0</v>
      </c>
      <c r="W29" s="104">
        <f t="shared" ref="W29:W39" si="32">IF(V29&lt;1,0,U29)</f>
        <v>0</v>
      </c>
      <c r="X29" s="118">
        <f>0.27*F29</f>
        <v>0</v>
      </c>
      <c r="Y29" s="75">
        <f t="shared" si="8"/>
        <v>95</v>
      </c>
      <c r="Z29" s="75">
        <f>X29+20</f>
        <v>20</v>
      </c>
      <c r="AA29" s="75">
        <f>(X29)+20-(((X29)+20)*($DD$27-($DM$29+30))/20)</f>
        <v>125</v>
      </c>
      <c r="AB29" s="75">
        <f>IF($DT$29="Maintenance",Z29,IF($DT$29="Drawdown", AA29, IF($DT$29="No more K",0,Y29)))</f>
        <v>95</v>
      </c>
      <c r="AC29" s="118">
        <f t="shared" si="9"/>
        <v>0</v>
      </c>
      <c r="AD29" s="104">
        <f t="shared" ref="AD29:AD37" si="33">IF(AC29&lt;1,0,AB29)</f>
        <v>0</v>
      </c>
      <c r="AE29" s="75">
        <f>0.37*G29</f>
        <v>0</v>
      </c>
      <c r="AF29" s="73">
        <f t="shared" si="10"/>
        <v>75</v>
      </c>
      <c r="AG29" s="101">
        <f>AE29</f>
        <v>0</v>
      </c>
      <c r="AH29" s="73">
        <f t="shared" si="11"/>
        <v>0</v>
      </c>
      <c r="AI29" s="75">
        <f t="shared" si="12"/>
        <v>75</v>
      </c>
      <c r="AJ29" s="118">
        <f t="shared" si="13"/>
        <v>0</v>
      </c>
      <c r="AK29" s="104">
        <f t="shared" ref="AK29:AK39" si="34">IF(AJ29&lt;1,0,AI29)</f>
        <v>0</v>
      </c>
      <c r="AL29" s="118">
        <f>0.27*G29</f>
        <v>0</v>
      </c>
      <c r="AM29" s="75">
        <f>($DN$29*(1+(0.05*$DB$27)))+AL29+20</f>
        <v>95</v>
      </c>
      <c r="AN29" s="75">
        <f>AL29+20</f>
        <v>20</v>
      </c>
      <c r="AO29" s="75">
        <f>(AL29)+20-(((AL29)+20)*($DD$27-($DM$29+30))/20)</f>
        <v>125</v>
      </c>
      <c r="AP29" s="75">
        <f>IF($DT$29="Maintenance",AN29,IF($DT$29="Drawdown", AO29, IF($DT$29="No more K",0,AM29)))</f>
        <v>95</v>
      </c>
      <c r="AQ29" s="118">
        <f t="shared" si="14"/>
        <v>0</v>
      </c>
      <c r="AR29" s="104">
        <f t="shared" ref="AR29:AR37" si="35">IF(AQ29&lt;1,0,AP29)</f>
        <v>0</v>
      </c>
      <c r="AS29" s="77">
        <f>0.37*H29</f>
        <v>0</v>
      </c>
      <c r="AT29" s="73">
        <f t="shared" si="15"/>
        <v>75</v>
      </c>
      <c r="AU29" s="101">
        <f>AS29</f>
        <v>0</v>
      </c>
      <c r="AV29" s="73">
        <f t="shared" si="16"/>
        <v>0</v>
      </c>
      <c r="AW29" s="75">
        <f t="shared" si="17"/>
        <v>75</v>
      </c>
      <c r="AX29" s="118">
        <f t="shared" si="18"/>
        <v>0</v>
      </c>
      <c r="AY29" s="104">
        <f t="shared" ref="AY29:AY39" si="36">IF(AX29&lt;1,0,AW29)</f>
        <v>0</v>
      </c>
      <c r="AZ29" s="118">
        <f>0.27*H29</f>
        <v>0</v>
      </c>
      <c r="BA29" s="75">
        <f>($DN$29*(1+(0.05*$DB$27)))+AZ29+20</f>
        <v>95</v>
      </c>
      <c r="BB29" s="75">
        <f>AZ29+20</f>
        <v>20</v>
      </c>
      <c r="BC29" s="75">
        <f>(AZ29)+20-(((AZ29)+20)*($DD$27-($DM$29+30))/20)</f>
        <v>125</v>
      </c>
      <c r="BD29" s="75">
        <f>IF($DT$29="Maintenance",BB29,IF($DT$29="Drawdown", BC29, IF($DT$29="No more K",0,BA29)))</f>
        <v>95</v>
      </c>
      <c r="BE29" s="118">
        <f t="shared" si="19"/>
        <v>0</v>
      </c>
      <c r="BF29" s="104">
        <f t="shared" ref="BF29:BF37" si="37">IF(BE29&lt;1,0,BD29)</f>
        <v>0</v>
      </c>
      <c r="BG29" s="77">
        <f>0.37*I29</f>
        <v>0</v>
      </c>
      <c r="BH29" s="73">
        <f t="shared" si="20"/>
        <v>75</v>
      </c>
      <c r="BI29" s="101">
        <f>BG29</f>
        <v>0</v>
      </c>
      <c r="BJ29" s="73">
        <f t="shared" si="21"/>
        <v>0</v>
      </c>
      <c r="BK29" s="75">
        <f t="shared" si="22"/>
        <v>75</v>
      </c>
      <c r="BL29" s="118">
        <f t="shared" si="23"/>
        <v>0</v>
      </c>
      <c r="BM29" s="104">
        <f t="shared" ref="BM29:BM39" si="38">IF(BL29&lt;1,0,BK29)</f>
        <v>0</v>
      </c>
      <c r="BN29" s="118">
        <f>0.27*I29</f>
        <v>0</v>
      </c>
      <c r="BO29" s="75">
        <f>($DN$29*(1+(0.05*$DB$27)))+BN29+20</f>
        <v>95</v>
      </c>
      <c r="BP29" s="75">
        <f>BN29+20</f>
        <v>20</v>
      </c>
      <c r="BQ29" s="75">
        <f>(BN29)+20-(((BN29)+20)*($DD$27-($DM$29+30))/20)</f>
        <v>125</v>
      </c>
      <c r="BR29" s="75">
        <f>IF($DT$29="Maintenance",BP29,IF($DT$29="Drawdown", BQ29, IF($DT$29="No more K",0,BO29)))</f>
        <v>95</v>
      </c>
      <c r="BS29" s="118">
        <f t="shared" si="24"/>
        <v>0</v>
      </c>
      <c r="BT29" s="104">
        <f t="shared" ref="BT29:BT37" si="39">IF(BS29&lt;1,0,BR29)</f>
        <v>0</v>
      </c>
      <c r="BU29" s="77">
        <f>0.37*J29</f>
        <v>0</v>
      </c>
      <c r="BV29" s="73">
        <f t="shared" si="25"/>
        <v>75</v>
      </c>
      <c r="BW29" s="101">
        <f>BU29</f>
        <v>0</v>
      </c>
      <c r="BX29" s="73">
        <f t="shared" si="26"/>
        <v>0</v>
      </c>
      <c r="BY29" s="75">
        <f t="shared" si="27"/>
        <v>75</v>
      </c>
      <c r="BZ29" s="118">
        <f t="shared" si="28"/>
        <v>0</v>
      </c>
      <c r="CA29" s="104">
        <f t="shared" ref="CA29:CA39" si="40">IF(BZ29&lt;1,0,BY29)</f>
        <v>0</v>
      </c>
      <c r="CB29" s="118">
        <f>0.27*J29</f>
        <v>0</v>
      </c>
      <c r="CC29" s="75">
        <f>($DN$29*(1+(0.05*$DB$27)))+CB29+20</f>
        <v>95</v>
      </c>
      <c r="CD29" s="75">
        <f>CB29+20</f>
        <v>20</v>
      </c>
      <c r="CE29" s="75">
        <f>(CB29)+20-(((CB29)+20)*($DD$27-($DM$29+30))/20)</f>
        <v>125</v>
      </c>
      <c r="CF29" s="75">
        <f>IF($DT$29="Maintenance",CD29,IF($DT$29="Drawdown", CE29, IF($DT$29="No more K",0,CC29)))</f>
        <v>95</v>
      </c>
      <c r="CG29" s="118">
        <f t="shared" si="29"/>
        <v>0</v>
      </c>
      <c r="CH29" s="104">
        <f t="shared" ref="CH29:CH37" si="41">IF(CG29&lt;1,0,CF29)</f>
        <v>0</v>
      </c>
      <c r="CI29" s="115"/>
      <c r="CJ29" s="115"/>
      <c r="CK29" s="120"/>
      <c r="CL29" s="77">
        <f t="shared" si="30"/>
        <v>0</v>
      </c>
      <c r="CM29" s="122">
        <f t="shared" si="31"/>
        <v>0</v>
      </c>
      <c r="CN29" s="1"/>
      <c r="CO29" s="674" t="str">
        <f>IF((SUM(G28:J39))=0, " ","*N Rec. is for the next crop only. Additional N will be needed for later non-legume crops in the planned rotation.")</f>
        <v xml:space="preserve"> </v>
      </c>
      <c r="CP29" s="675"/>
      <c r="CQ29" s="675"/>
      <c r="CR29" s="675"/>
      <c r="CS29" s="375"/>
      <c r="CT29" s="319">
        <f>CP28/0.28/10.7</f>
        <v>0</v>
      </c>
      <c r="CU29" s="582" t="s">
        <v>228</v>
      </c>
      <c r="CV29" s="580"/>
      <c r="CW29" s="581"/>
      <c r="CX29" s="130"/>
      <c r="CZ29" s="42"/>
      <c r="DA29" s="82"/>
      <c r="DB29" s="219" t="s">
        <v>55</v>
      </c>
      <c r="DC29" s="220">
        <f>IF(DK30="Wheat, Alfalfa, Grasses", DO28, DO27)</f>
        <v>30</v>
      </c>
      <c r="DD29" s="221">
        <f>IF(DK31="Grain Rotation", DO29, DO30)</f>
        <v>75</v>
      </c>
      <c r="DE29" s="83" t="s">
        <v>92</v>
      </c>
      <c r="DF29" s="83"/>
      <c r="DG29" s="310">
        <f>DC29*2</f>
        <v>60</v>
      </c>
      <c r="DH29" s="81" t="s">
        <v>58</v>
      </c>
      <c r="DI29" s="1"/>
      <c r="DJ29" s="671" t="s">
        <v>147</v>
      </c>
      <c r="DK29" s="672"/>
      <c r="DL29" s="79" t="s">
        <v>33</v>
      </c>
      <c r="DM29" s="176">
        <f>ROUND((75+(2.5*$DB$27)),0)</f>
        <v>75</v>
      </c>
      <c r="DN29" s="173">
        <f>DM29-$DD$27</f>
        <v>75</v>
      </c>
      <c r="DO29" s="170">
        <f>ROUND((2.4847*$DB$27+105.37),0)</f>
        <v>105</v>
      </c>
      <c r="DP29" s="174">
        <f>DO29-$DD$27</f>
        <v>105</v>
      </c>
      <c r="DQ29" s="85">
        <f>ROUND((2.4237*$DB$27+126.86),0)</f>
        <v>127</v>
      </c>
      <c r="DR29" s="172">
        <f>DQ29-$DD$27</f>
        <v>127</v>
      </c>
      <c r="DS29" s="172"/>
      <c r="DT29" s="2" t="str">
        <f>IF($DN$29&gt;0,"Buildup",IF($DP$29&gt;-1,"Maintenance",IF($DR$29&gt;0,"Drawdown","No Recommendation")))</f>
        <v>Buildup</v>
      </c>
      <c r="DU29" s="167" t="s">
        <v>69</v>
      </c>
      <c r="DV29" s="167"/>
    </row>
    <row r="30" spans="1:132" ht="28.5" customHeight="1" thickTop="1" x14ac:dyDescent="0.25">
      <c r="A30" s="129"/>
      <c r="B30" s="666" t="s">
        <v>74</v>
      </c>
      <c r="C30" s="667"/>
      <c r="D30" s="667"/>
      <c r="E30" s="668"/>
      <c r="F30" s="441"/>
      <c r="G30" s="442"/>
      <c r="H30" s="442"/>
      <c r="I30" s="442"/>
      <c r="J30" s="456"/>
      <c r="K30" s="1"/>
      <c r="L30" s="478"/>
      <c r="M30" s="183">
        <f>(-27+(1.36*F30))</f>
        <v>-27</v>
      </c>
      <c r="N30" s="68">
        <f>IF(M30&gt;220,220,M30)</f>
        <v>-27</v>
      </c>
      <c r="O30" s="184">
        <f t="shared" si="2"/>
        <v>0</v>
      </c>
      <c r="P30" s="184">
        <f t="shared" si="3"/>
        <v>0</v>
      </c>
      <c r="Q30" s="75">
        <f>0.37*F30+0.0605*F30</f>
        <v>0</v>
      </c>
      <c r="R30" s="189">
        <f t="shared" si="4"/>
        <v>75</v>
      </c>
      <c r="S30" s="190">
        <f>Q30</f>
        <v>0</v>
      </c>
      <c r="T30" s="189">
        <f t="shared" si="5"/>
        <v>0</v>
      </c>
      <c r="U30" s="75">
        <f t="shared" si="6"/>
        <v>75</v>
      </c>
      <c r="V30" s="118">
        <f t="shared" si="7"/>
        <v>0</v>
      </c>
      <c r="W30" s="104">
        <f>IF(V30&lt;1,0,U30)</f>
        <v>0</v>
      </c>
      <c r="X30" s="92">
        <f>0.27*F30+0.336*F30</f>
        <v>0</v>
      </c>
      <c r="Y30" s="75">
        <f t="shared" si="8"/>
        <v>95</v>
      </c>
      <c r="Z30" s="75">
        <f t="shared" ref="Z30:Z31" si="42">X30+20</f>
        <v>20</v>
      </c>
      <c r="AA30" s="75">
        <f>(X30)+20-(((X30)+20)*($DD$27-($DM$29+30))/20)</f>
        <v>125</v>
      </c>
      <c r="AB30" s="75">
        <f>IF($DT$29="Maintenance",Z30,IF($DT$29="Drawdown", AA30, IF($DT$29="No more K",0,Y30)))</f>
        <v>95</v>
      </c>
      <c r="AC30" s="118">
        <f t="shared" si="9"/>
        <v>0</v>
      </c>
      <c r="AD30" s="104">
        <f t="shared" si="33"/>
        <v>0</v>
      </c>
      <c r="AE30" s="75">
        <f>0.37*G30+0.0605*G30</f>
        <v>0</v>
      </c>
      <c r="AF30" s="189">
        <f t="shared" si="10"/>
        <v>75</v>
      </c>
      <c r="AG30" s="190">
        <f>AE30</f>
        <v>0</v>
      </c>
      <c r="AH30" s="189">
        <f t="shared" si="11"/>
        <v>0</v>
      </c>
      <c r="AI30" s="75">
        <f t="shared" si="12"/>
        <v>75</v>
      </c>
      <c r="AJ30" s="118">
        <f t="shared" si="13"/>
        <v>0</v>
      </c>
      <c r="AK30" s="104">
        <f t="shared" si="34"/>
        <v>0</v>
      </c>
      <c r="AL30" s="92">
        <f>0.27*G30+0.336*G30</f>
        <v>0</v>
      </c>
      <c r="AM30" s="75">
        <f>(($DM$29-$DD$27)*(1+(0.05*$DB$27)))+AL30+20</f>
        <v>95</v>
      </c>
      <c r="AN30" s="75">
        <f t="shared" ref="AN30:AN31" si="43">AL30+20</f>
        <v>20</v>
      </c>
      <c r="AO30" s="75">
        <f>(AL30)+20-(((AL30)+20)*($DD$27-($DM$29+30))/20)</f>
        <v>125</v>
      </c>
      <c r="AP30" s="75">
        <f>IF($DT$29="Maintenance",AN30,IF($DT$29="Drawdown", AO30, IF($DT$29="No more K",0,AM30)))</f>
        <v>95</v>
      </c>
      <c r="AQ30" s="118">
        <f t="shared" si="14"/>
        <v>0</v>
      </c>
      <c r="AR30" s="104">
        <f t="shared" si="35"/>
        <v>0</v>
      </c>
      <c r="AS30" s="75">
        <f>0.37*H30+0.0605*H30</f>
        <v>0</v>
      </c>
      <c r="AT30" s="189">
        <f t="shared" si="15"/>
        <v>75</v>
      </c>
      <c r="AU30" s="190">
        <f>AS30</f>
        <v>0</v>
      </c>
      <c r="AV30" s="189">
        <f t="shared" si="16"/>
        <v>0</v>
      </c>
      <c r="AW30" s="75">
        <f t="shared" si="17"/>
        <v>75</v>
      </c>
      <c r="AX30" s="118">
        <f t="shared" si="18"/>
        <v>0</v>
      </c>
      <c r="AY30" s="104">
        <f t="shared" si="36"/>
        <v>0</v>
      </c>
      <c r="AZ30" s="92">
        <f>0.27*H30+0.336*H30</f>
        <v>0</v>
      </c>
      <c r="BA30" s="75">
        <f>(($DM$29-$DD$27)*(1+(0.05*$DB$27)))+AZ30+20</f>
        <v>95</v>
      </c>
      <c r="BB30" s="75">
        <f t="shared" ref="BB30:BB31" si="44">AZ30+20</f>
        <v>20</v>
      </c>
      <c r="BC30" s="75">
        <f>(AZ30)+20-(((AZ30)+20)*($DD$27-($DM$29+30))/20)</f>
        <v>125</v>
      </c>
      <c r="BD30" s="75">
        <f>IF($DT$29="Maintenance",BB30,IF($DT$29="Drawdown", BC30, IF($DT$29="No more K",0,BA30)))</f>
        <v>95</v>
      </c>
      <c r="BE30" s="118">
        <f t="shared" si="19"/>
        <v>0</v>
      </c>
      <c r="BF30" s="104">
        <f t="shared" si="37"/>
        <v>0</v>
      </c>
      <c r="BG30" s="75">
        <f>0.37*I30+0.0605*I30</f>
        <v>0</v>
      </c>
      <c r="BH30" s="189">
        <f t="shared" si="20"/>
        <v>75</v>
      </c>
      <c r="BI30" s="190">
        <f>BG30</f>
        <v>0</v>
      </c>
      <c r="BJ30" s="189">
        <f t="shared" si="21"/>
        <v>0</v>
      </c>
      <c r="BK30" s="75">
        <f t="shared" si="22"/>
        <v>75</v>
      </c>
      <c r="BL30" s="118">
        <f t="shared" si="23"/>
        <v>0</v>
      </c>
      <c r="BM30" s="104">
        <f t="shared" si="38"/>
        <v>0</v>
      </c>
      <c r="BN30" s="92">
        <f>0.27*I30+0.336*I30</f>
        <v>0</v>
      </c>
      <c r="BO30" s="75">
        <f>(($DM$29-$DD$27)*(1+(0.05*$DB$27)))+BN30+20</f>
        <v>95</v>
      </c>
      <c r="BP30" s="75">
        <f t="shared" ref="BP30:BP31" si="45">BN30+20</f>
        <v>20</v>
      </c>
      <c r="BQ30" s="75">
        <f>(BN30)+20-(((BN30)+20)*($DD$27-($DM$29+30))/20)</f>
        <v>125</v>
      </c>
      <c r="BR30" s="75">
        <f>IF($DT$29="Maintenance",BP30,IF($DT$29="Drawdown", BQ30, IF($DT$29="No more K",0,BO30)))</f>
        <v>95</v>
      </c>
      <c r="BS30" s="118">
        <f t="shared" si="24"/>
        <v>0</v>
      </c>
      <c r="BT30" s="104">
        <f t="shared" si="39"/>
        <v>0</v>
      </c>
      <c r="BU30" s="75">
        <f>0.37*J30+0.0605*J30</f>
        <v>0</v>
      </c>
      <c r="BV30" s="189">
        <f t="shared" si="25"/>
        <v>75</v>
      </c>
      <c r="BW30" s="190">
        <f>BU30</f>
        <v>0</v>
      </c>
      <c r="BX30" s="189">
        <f t="shared" si="26"/>
        <v>0</v>
      </c>
      <c r="BY30" s="75">
        <f t="shared" si="27"/>
        <v>75</v>
      </c>
      <c r="BZ30" s="118">
        <f t="shared" si="28"/>
        <v>0</v>
      </c>
      <c r="CA30" s="104">
        <f t="shared" si="40"/>
        <v>0</v>
      </c>
      <c r="CB30" s="92">
        <f>0.27*J30+0.336*J30</f>
        <v>0</v>
      </c>
      <c r="CC30" s="75">
        <f>(($DM$29-$DD$27)*(1+(0.05*$DB$27)))+CB30+20</f>
        <v>95</v>
      </c>
      <c r="CD30" s="75">
        <f t="shared" ref="CD30:CD31" si="46">CB30+20</f>
        <v>20</v>
      </c>
      <c r="CE30" s="75">
        <f>(CB30)+20-(((CB30)+20)*($DD$27-($DM$29+30))/20)</f>
        <v>125</v>
      </c>
      <c r="CF30" s="75">
        <f>IF($DT$29="Maintenance",CD30,IF($DT$29="Drawdown", CE30, IF($DT$29="No more K",0,CC30)))</f>
        <v>95</v>
      </c>
      <c r="CG30" s="118">
        <f t="shared" si="29"/>
        <v>0</v>
      </c>
      <c r="CH30" s="104">
        <f t="shared" si="41"/>
        <v>0</v>
      </c>
      <c r="CI30" s="115"/>
      <c r="CJ30" s="115"/>
      <c r="CK30" s="120"/>
      <c r="CL30" s="77">
        <f t="shared" ref="CL30:CL31" si="47">W30+AK30+AY30+BM30+CA30</f>
        <v>0</v>
      </c>
      <c r="CM30" s="122">
        <f t="shared" ref="CM30:CM31" si="48">AD30+AR30+BF30+BT30+CH30</f>
        <v>0</v>
      </c>
      <c r="CN30" s="1"/>
      <c r="CO30" s="676"/>
      <c r="CP30" s="675"/>
      <c r="CQ30" s="675"/>
      <c r="CR30" s="675"/>
      <c r="CS30" s="137"/>
      <c r="CT30" s="673" t="s">
        <v>65</v>
      </c>
      <c r="CU30" s="673"/>
      <c r="CV30" s="673"/>
      <c r="CW30" s="673"/>
      <c r="CX30" s="130"/>
      <c r="CZ30" s="42"/>
      <c r="DA30" s="82"/>
      <c r="DB30" s="217" t="s">
        <v>54</v>
      </c>
      <c r="DC30" s="218">
        <f>ROUND(((DC28+8.08)/0.832),0)</f>
        <v>28</v>
      </c>
      <c r="DD30" s="222"/>
      <c r="DE30" s="83" t="s">
        <v>91</v>
      </c>
      <c r="DF30" s="83"/>
      <c r="DG30" s="310">
        <f>DC30*2</f>
        <v>56</v>
      </c>
      <c r="DH30" s="81" t="s">
        <v>58</v>
      </c>
      <c r="DI30" s="79" t="s">
        <v>47</v>
      </c>
      <c r="DJ30" s="129"/>
      <c r="DK30" s="296" t="str">
        <f>IF((SUM(F36:J39))=0, "Corn, Soybeans","Wheat, Alfalfa, Grasses")</f>
        <v>Corn, Soybeans</v>
      </c>
      <c r="DL30" s="79" t="s">
        <v>33</v>
      </c>
      <c r="DM30" s="176">
        <f>ROUND((75+(2.5*$DB$27)),0)</f>
        <v>75</v>
      </c>
      <c r="DN30" s="173">
        <f>DM30-$DD$27</f>
        <v>75</v>
      </c>
      <c r="DO30" s="170">
        <f>ROUND((2.4847*$DB$27+75.373),0)</f>
        <v>75</v>
      </c>
      <c r="DP30" s="174">
        <f>DO30-$DD$27</f>
        <v>75</v>
      </c>
      <c r="DQ30" s="85">
        <f>ROUND((2.4237*$DB$27+126.86),0)</f>
        <v>127</v>
      </c>
      <c r="DR30" s="172">
        <f>DQ30-$DD$27</f>
        <v>127</v>
      </c>
      <c r="DS30" s="172"/>
      <c r="DT30" s="2" t="str">
        <f>IF($DN$30&gt;0,"Buildup",IF($DP$30&gt;-1,"Maintenance",IF($DR$30&gt;0,"Drawdown","No Recommendation")))</f>
        <v>Buildup</v>
      </c>
      <c r="DU30" s="81" t="s">
        <v>72</v>
      </c>
      <c r="DV30" s="81"/>
      <c r="DW30" s="6"/>
    </row>
    <row r="31" spans="1:132" ht="35.25" customHeight="1" thickBot="1" x14ac:dyDescent="0.3">
      <c r="A31" s="129"/>
      <c r="B31" s="692" t="s">
        <v>75</v>
      </c>
      <c r="C31" s="693"/>
      <c r="D31" s="693"/>
      <c r="E31" s="694"/>
      <c r="F31" s="441"/>
      <c r="G31" s="442"/>
      <c r="H31" s="442"/>
      <c r="I31" s="442"/>
      <c r="J31" s="456"/>
      <c r="K31" s="1"/>
      <c r="L31" s="95"/>
      <c r="M31" s="180">
        <f>(-27+(1.36*F31)-30)</f>
        <v>-57</v>
      </c>
      <c r="N31" s="99">
        <f>IF(M31&gt;190,190,M31)</f>
        <v>-57</v>
      </c>
      <c r="O31" s="181">
        <f t="shared" si="2"/>
        <v>0</v>
      </c>
      <c r="P31" s="181">
        <f t="shared" si="3"/>
        <v>0</v>
      </c>
      <c r="Q31" s="191">
        <f>0.37*F31+0.0605*F31</f>
        <v>0</v>
      </c>
      <c r="R31" s="91">
        <f t="shared" si="4"/>
        <v>75</v>
      </c>
      <c r="S31" s="91">
        <f>Q31</f>
        <v>0</v>
      </c>
      <c r="T31" s="91">
        <f t="shared" si="5"/>
        <v>0</v>
      </c>
      <c r="U31" s="75">
        <f t="shared" si="6"/>
        <v>75</v>
      </c>
      <c r="V31" s="91">
        <f t="shared" si="7"/>
        <v>0</v>
      </c>
      <c r="W31" s="104">
        <f t="shared" ref="W31" si="49">IF(V31&lt;1,0,U31)</f>
        <v>0</v>
      </c>
      <c r="X31" s="92">
        <f>0.27*F31+0.336*F31</f>
        <v>0</v>
      </c>
      <c r="Y31" s="75">
        <f t="shared" si="8"/>
        <v>95</v>
      </c>
      <c r="Z31" s="75">
        <f t="shared" si="42"/>
        <v>20</v>
      </c>
      <c r="AA31" s="75">
        <f>(X31)+20-(((X31)+20)*($DD$27-($DM$29+30))/20)</f>
        <v>125</v>
      </c>
      <c r="AB31" s="75">
        <f>IF($DT$29="Maintenance",Z31,IF($DT$29="Drawdown", AA31, IF($DT$29="No more K",0,Y31)))</f>
        <v>95</v>
      </c>
      <c r="AC31" s="118">
        <f t="shared" si="9"/>
        <v>0</v>
      </c>
      <c r="AD31" s="104">
        <f t="shared" si="33"/>
        <v>0</v>
      </c>
      <c r="AE31" s="182">
        <f>0.37*G31+0.0605*G31</f>
        <v>0</v>
      </c>
      <c r="AF31" s="91">
        <f t="shared" si="10"/>
        <v>75</v>
      </c>
      <c r="AG31" s="118">
        <f>AE31</f>
        <v>0</v>
      </c>
      <c r="AH31" s="91">
        <f t="shared" si="11"/>
        <v>0</v>
      </c>
      <c r="AI31" s="75">
        <f t="shared" si="12"/>
        <v>75</v>
      </c>
      <c r="AJ31" s="118">
        <f t="shared" si="13"/>
        <v>0</v>
      </c>
      <c r="AK31" s="104">
        <f t="shared" si="34"/>
        <v>0</v>
      </c>
      <c r="AL31" s="92">
        <f>0.27*G31+0.336*G31</f>
        <v>0</v>
      </c>
      <c r="AM31" s="75">
        <f>(($DM$29-$DD$27)*(1+(0.05*$DB$27)))+AL31+20</f>
        <v>95</v>
      </c>
      <c r="AN31" s="75">
        <f t="shared" si="43"/>
        <v>20</v>
      </c>
      <c r="AO31" s="75">
        <f>(AL31)+20-(((AL31)+20)*($DD$27-($DM$29+30))/20)</f>
        <v>125</v>
      </c>
      <c r="AP31" s="75">
        <f>IF($DT$29="Maintenance",AN31,IF($DT$29="Drawdown", AO31, IF($DT$29="No more K",0,AM31)))</f>
        <v>95</v>
      </c>
      <c r="AQ31" s="118">
        <f t="shared" si="14"/>
        <v>0</v>
      </c>
      <c r="AR31" s="104">
        <f t="shared" si="35"/>
        <v>0</v>
      </c>
      <c r="AS31" s="75">
        <f>0.37*H31+0.0605*H31</f>
        <v>0</v>
      </c>
      <c r="AT31" s="91">
        <f t="shared" si="15"/>
        <v>75</v>
      </c>
      <c r="AU31" s="118">
        <f>AS31</f>
        <v>0</v>
      </c>
      <c r="AV31" s="91">
        <f t="shared" si="16"/>
        <v>0</v>
      </c>
      <c r="AW31" s="75">
        <f t="shared" si="17"/>
        <v>75</v>
      </c>
      <c r="AX31" s="118">
        <f t="shared" si="18"/>
        <v>0</v>
      </c>
      <c r="AY31" s="104">
        <f t="shared" si="36"/>
        <v>0</v>
      </c>
      <c r="AZ31" s="92">
        <f>0.27*H31+0.336*H31</f>
        <v>0</v>
      </c>
      <c r="BA31" s="75">
        <f>(($DM$29-$DD$27)*(1+(0.05*$DB$27)))+AZ31+20</f>
        <v>95</v>
      </c>
      <c r="BB31" s="75">
        <f t="shared" si="44"/>
        <v>20</v>
      </c>
      <c r="BC31" s="75">
        <f>(AZ31)+20-(((AZ31)+20)*($DD$27-($DM$29+30))/20)</f>
        <v>125</v>
      </c>
      <c r="BD31" s="75">
        <f>IF($DT$29="Maintenance",BB31,IF($DT$29="Drawdown", BC31, IF($DT$29="No more K",0,BA31)))</f>
        <v>95</v>
      </c>
      <c r="BE31" s="118">
        <f t="shared" si="19"/>
        <v>0</v>
      </c>
      <c r="BF31" s="104">
        <f t="shared" si="37"/>
        <v>0</v>
      </c>
      <c r="BG31" s="182">
        <f>0.37*I31+0.0605*I31</f>
        <v>0</v>
      </c>
      <c r="BH31" s="91">
        <f t="shared" si="20"/>
        <v>75</v>
      </c>
      <c r="BI31" s="118">
        <f>BG31</f>
        <v>0</v>
      </c>
      <c r="BJ31" s="91">
        <f t="shared" si="21"/>
        <v>0</v>
      </c>
      <c r="BK31" s="75">
        <f t="shared" si="22"/>
        <v>75</v>
      </c>
      <c r="BL31" s="118">
        <f t="shared" si="23"/>
        <v>0</v>
      </c>
      <c r="BM31" s="104">
        <f t="shared" si="38"/>
        <v>0</v>
      </c>
      <c r="BN31" s="92">
        <f>0.27*I31+0.336*I31</f>
        <v>0</v>
      </c>
      <c r="BO31" s="75">
        <f>(($DM$29-$DD$27)*(1+(0.05*$DB$27)))+BN31+20</f>
        <v>95</v>
      </c>
      <c r="BP31" s="75">
        <f t="shared" si="45"/>
        <v>20</v>
      </c>
      <c r="BQ31" s="75">
        <f>(BN31)+20-(((BN31)+20)*($DD$27-($DM$29+30))/20)</f>
        <v>125</v>
      </c>
      <c r="BR31" s="75">
        <f>IF($DT$29="Maintenance",BP31,IF($DT$29="Drawdown", BQ31, IF($DT$29="No more K",0,BO31)))</f>
        <v>95</v>
      </c>
      <c r="BS31" s="118">
        <f t="shared" si="24"/>
        <v>0</v>
      </c>
      <c r="BT31" s="104">
        <f t="shared" si="39"/>
        <v>0</v>
      </c>
      <c r="BU31" s="182">
        <f>0.37*J31+0.0605*J31</f>
        <v>0</v>
      </c>
      <c r="BV31" s="91">
        <f t="shared" si="25"/>
        <v>75</v>
      </c>
      <c r="BW31" s="118">
        <f>BU31</f>
        <v>0</v>
      </c>
      <c r="BX31" s="91">
        <f t="shared" si="26"/>
        <v>0</v>
      </c>
      <c r="BY31" s="75">
        <f t="shared" si="27"/>
        <v>75</v>
      </c>
      <c r="BZ31" s="118">
        <f t="shared" si="28"/>
        <v>0</v>
      </c>
      <c r="CA31" s="104">
        <f t="shared" si="40"/>
        <v>0</v>
      </c>
      <c r="CB31" s="92">
        <f>0.27*J31+0.336*J31</f>
        <v>0</v>
      </c>
      <c r="CC31" s="75">
        <f>(($DM$29-$DD$27)*(1+(0.05*$DB$27)))+CB31+20</f>
        <v>95</v>
      </c>
      <c r="CD31" s="75">
        <f t="shared" si="46"/>
        <v>20</v>
      </c>
      <c r="CE31" s="75">
        <f>(CB31)+20-(((CB31)+20)*($DD$27-($DM$29+30))/20)</f>
        <v>125</v>
      </c>
      <c r="CF31" s="75">
        <f>IF($DT$29="Maintenance",CD31,IF($DT$29="Drawdown", CE31, IF($DT$29="No more K",0,CC31)))</f>
        <v>95</v>
      </c>
      <c r="CG31" s="118">
        <f t="shared" si="29"/>
        <v>0</v>
      </c>
      <c r="CH31" s="104">
        <f t="shared" si="41"/>
        <v>0</v>
      </c>
      <c r="CI31" s="115"/>
      <c r="CJ31" s="115"/>
      <c r="CK31" s="120"/>
      <c r="CL31" s="77">
        <f t="shared" si="47"/>
        <v>0</v>
      </c>
      <c r="CM31" s="122">
        <f t="shared" si="48"/>
        <v>0</v>
      </c>
      <c r="CN31" s="1"/>
      <c r="CO31" s="676"/>
      <c r="CP31" s="675"/>
      <c r="CQ31" s="675"/>
      <c r="CR31" s="675"/>
      <c r="CS31" s="137"/>
      <c r="CT31" s="318">
        <f>CP28/0.46</f>
        <v>0</v>
      </c>
      <c r="CU31" s="582" t="s">
        <v>229</v>
      </c>
      <c r="CV31" s="580"/>
      <c r="CW31" s="581"/>
      <c r="CX31" s="130"/>
      <c r="CZ31" s="42"/>
      <c r="DA31" s="82"/>
      <c r="DB31" s="223" t="s">
        <v>55</v>
      </c>
      <c r="DC31" s="224">
        <f>ROUND(((DC29+8.08)/0.832),0)</f>
        <v>46</v>
      </c>
      <c r="DD31" s="225"/>
      <c r="DE31" s="83" t="s">
        <v>91</v>
      </c>
      <c r="DF31" s="83"/>
      <c r="DG31" s="310">
        <f>DC31*2</f>
        <v>92</v>
      </c>
      <c r="DH31" s="81" t="s">
        <v>58</v>
      </c>
      <c r="DI31" s="79" t="s">
        <v>33</v>
      </c>
      <c r="DJ31" s="111"/>
      <c r="DK31" s="297" t="str">
        <f>IF((SUM(F34:J37)+SUM(F28:J31))=0, "Forage Rotation","Grain Rotation")</f>
        <v>Forage Rotation</v>
      </c>
      <c r="DL31" s="1"/>
      <c r="DM31" s="1"/>
      <c r="DO31" s="1"/>
    </row>
    <row r="32" spans="1:132" ht="25.15" customHeight="1" x14ac:dyDescent="0.25">
      <c r="A32" s="129"/>
      <c r="B32" s="700" t="s">
        <v>212</v>
      </c>
      <c r="C32" s="701"/>
      <c r="D32" s="701"/>
      <c r="E32" s="702"/>
      <c r="F32" s="443"/>
      <c r="G32" s="405"/>
      <c r="H32" s="405"/>
      <c r="I32" s="405"/>
      <c r="J32" s="457"/>
      <c r="K32" s="1"/>
      <c r="L32" s="95"/>
      <c r="M32" s="67">
        <f>(-27+(1.36*(F32*6)))</f>
        <v>-27</v>
      </c>
      <c r="N32" s="68">
        <f>IF(M32&gt;220,220,M32)</f>
        <v>-27</v>
      </c>
      <c r="O32" s="74">
        <f t="shared" si="2"/>
        <v>0</v>
      </c>
      <c r="P32" s="74">
        <f t="shared" si="3"/>
        <v>0</v>
      </c>
      <c r="Q32" s="75">
        <f>3.3*F32</f>
        <v>0</v>
      </c>
      <c r="R32" s="91">
        <f t="shared" si="4"/>
        <v>75</v>
      </c>
      <c r="S32" s="118">
        <f t="shared" ref="S32:S39" si="50">Q32</f>
        <v>0</v>
      </c>
      <c r="T32" s="91">
        <f t="shared" si="5"/>
        <v>0</v>
      </c>
      <c r="U32" s="75">
        <f t="shared" si="6"/>
        <v>75</v>
      </c>
      <c r="V32" s="118">
        <f t="shared" si="7"/>
        <v>0</v>
      </c>
      <c r="W32" s="104">
        <f t="shared" si="32"/>
        <v>0</v>
      </c>
      <c r="X32" s="92">
        <f>8*F32</f>
        <v>0</v>
      </c>
      <c r="Y32" s="75">
        <f t="shared" si="8"/>
        <v>95</v>
      </c>
      <c r="Z32" s="188">
        <f>(X32+20)-(((X32)+20)*($DD$27-$DM$30)/50)</f>
        <v>50</v>
      </c>
      <c r="AA32" s="188">
        <f>((X32)+20)-(((X32)+20)*($DD$27-$DM$30)/50)</f>
        <v>50</v>
      </c>
      <c r="AB32" s="188">
        <f>IF($DT$30="Maintenance",Z32,IF($DT$30="Drawdown", AA32, IF($DT$30="No more K",0,Y32)))</f>
        <v>95</v>
      </c>
      <c r="AC32" s="118">
        <f>IF(F32=0,0,IF(AB32&gt;300,300,AB32))</f>
        <v>0</v>
      </c>
      <c r="AD32" s="104">
        <f>IF(AC32&lt;1,0,AC32)</f>
        <v>0</v>
      </c>
      <c r="AE32" s="75">
        <f>3.3*G32</f>
        <v>0</v>
      </c>
      <c r="AF32" s="91">
        <f t="shared" si="10"/>
        <v>75</v>
      </c>
      <c r="AG32" s="118">
        <f t="shared" ref="AG32:AG33" si="51">AE32</f>
        <v>0</v>
      </c>
      <c r="AH32" s="91">
        <f t="shared" si="11"/>
        <v>0</v>
      </c>
      <c r="AI32" s="75">
        <f t="shared" si="12"/>
        <v>75</v>
      </c>
      <c r="AJ32" s="118">
        <f t="shared" si="13"/>
        <v>0</v>
      </c>
      <c r="AK32" s="104">
        <f t="shared" si="34"/>
        <v>0</v>
      </c>
      <c r="AL32" s="92">
        <f>8*G32</f>
        <v>0</v>
      </c>
      <c r="AM32" s="75">
        <f>(($DM$29-$DD$27)*(1+(0.05*$DB$27)))+AL32+20</f>
        <v>95</v>
      </c>
      <c r="AN32" s="188">
        <f>((AL32)+20)-(((AL32)+20)*($DD$27-$DM$30)/50)</f>
        <v>50</v>
      </c>
      <c r="AO32" s="188">
        <f>((AL32)+20)-(((AL32)+20)*($DD$27-$DM$30)/50)</f>
        <v>50</v>
      </c>
      <c r="AP32" s="188">
        <f>IF($DT$30="Maintenance",AN32,IF($DT$30="Drawdown", AO32, IF($DT$30="No more K",0,AM32)))</f>
        <v>95</v>
      </c>
      <c r="AQ32" s="118">
        <f>IF(G32=0,0,IF(AP32&gt;300,300,AP32))</f>
        <v>0</v>
      </c>
      <c r="AR32" s="104">
        <f>IF(AQ32&lt;1,0,AQ32)</f>
        <v>0</v>
      </c>
      <c r="AS32" s="75">
        <f>3.3*H32</f>
        <v>0</v>
      </c>
      <c r="AT32" s="91">
        <f t="shared" si="15"/>
        <v>75</v>
      </c>
      <c r="AU32" s="118">
        <f t="shared" ref="AU32:AU33" si="52">AS32</f>
        <v>0</v>
      </c>
      <c r="AV32" s="91">
        <f t="shared" si="16"/>
        <v>0</v>
      </c>
      <c r="AW32" s="75">
        <f t="shared" si="17"/>
        <v>75</v>
      </c>
      <c r="AX32" s="118">
        <f t="shared" si="18"/>
        <v>0</v>
      </c>
      <c r="AY32" s="104">
        <f t="shared" si="36"/>
        <v>0</v>
      </c>
      <c r="AZ32" s="92">
        <f>8*H32</f>
        <v>0</v>
      </c>
      <c r="BA32" s="75">
        <f>(($DM$29-$DD$27)*(1+(0.05*$DB$27)))+AZ32+20</f>
        <v>95</v>
      </c>
      <c r="BB32" s="188">
        <f>(AZ32+20)-(((AZ32)+20)*($DD$27-$DM$30)/50)</f>
        <v>50</v>
      </c>
      <c r="BC32" s="188">
        <f>((AZ32)+20)-(((AZ32)+20)*($DD$27-$DM$30)/50)</f>
        <v>50</v>
      </c>
      <c r="BD32" s="188">
        <f>IF($DT$30="Maintenance",BB32,IF($DT$30="Drawdown", BC32, IF($DT$30="No more K",0,BA32)))</f>
        <v>95</v>
      </c>
      <c r="BE32" s="118">
        <f>IF(H32=0,0,IF(BD32&gt;300,300,BD32))</f>
        <v>0</v>
      </c>
      <c r="BF32" s="104">
        <f>IF(BE32&lt;1,0,BE32)</f>
        <v>0</v>
      </c>
      <c r="BG32" s="75">
        <f>3.3*I32</f>
        <v>0</v>
      </c>
      <c r="BH32" s="91">
        <f t="shared" si="20"/>
        <v>75</v>
      </c>
      <c r="BI32" s="118">
        <f t="shared" ref="BI32:BI33" si="53">BG32</f>
        <v>0</v>
      </c>
      <c r="BJ32" s="91">
        <f t="shared" si="21"/>
        <v>0</v>
      </c>
      <c r="BK32" s="75">
        <f t="shared" si="22"/>
        <v>75</v>
      </c>
      <c r="BL32" s="118">
        <f t="shared" si="23"/>
        <v>0</v>
      </c>
      <c r="BM32" s="104">
        <f t="shared" si="38"/>
        <v>0</v>
      </c>
      <c r="BN32" s="92">
        <f>8*I32</f>
        <v>0</v>
      </c>
      <c r="BO32" s="75">
        <f>(($DM$29-$DD$27)*(1+(0.05*$DB$27)))+BN32+20</f>
        <v>95</v>
      </c>
      <c r="BP32" s="188">
        <f>(BN32+20)-(((BN32)+20)*($DD$27-$DM$30)/50)</f>
        <v>50</v>
      </c>
      <c r="BQ32" s="188">
        <f>((BN32)+20)-(((BN32)+20)*($DD$27-$DM$30)/50)</f>
        <v>50</v>
      </c>
      <c r="BR32" s="188">
        <f>IF($DT$30="Maintenance",BP32,IF($DT$30="Drawdown", BQ32, IF($DT$30="No more K",0,BO32)))</f>
        <v>95</v>
      </c>
      <c r="BS32" s="118">
        <f>IF(I32=0,0,IF(BR32&gt;300,300,BR32))</f>
        <v>0</v>
      </c>
      <c r="BT32" s="104">
        <f>IF(BS32&lt;1,0,BS32)</f>
        <v>0</v>
      </c>
      <c r="BU32" s="75">
        <f>3.3*J32</f>
        <v>0</v>
      </c>
      <c r="BV32" s="91">
        <f t="shared" si="25"/>
        <v>75</v>
      </c>
      <c r="BW32" s="118">
        <f t="shared" ref="BW32:BW33" si="54">BU32</f>
        <v>0</v>
      </c>
      <c r="BX32" s="91">
        <f t="shared" si="26"/>
        <v>0</v>
      </c>
      <c r="BY32" s="75">
        <f t="shared" si="27"/>
        <v>75</v>
      </c>
      <c r="BZ32" s="118">
        <f t="shared" si="28"/>
        <v>0</v>
      </c>
      <c r="CA32" s="104">
        <f t="shared" si="40"/>
        <v>0</v>
      </c>
      <c r="CB32" s="92">
        <f>8*J32</f>
        <v>0</v>
      </c>
      <c r="CC32" s="75">
        <f>(($DM$29-$DD$27)*(1+(0.05*$DB$27)))+CB32+20</f>
        <v>95</v>
      </c>
      <c r="CD32" s="188">
        <f>(CB32+20)-(((CB32)+20)*($DD$27-$DM$30)/50)</f>
        <v>50</v>
      </c>
      <c r="CE32" s="188">
        <f>((CB32)+20)-(((CB32)+20)*($DD$27-$DM$30)/50)</f>
        <v>50</v>
      </c>
      <c r="CF32" s="188">
        <f>IF($DT$30="Maintenance",CD32,IF($DT$30="Drawdown", CE32, IF($DT$30="No more K",0,CC32)))</f>
        <v>95</v>
      </c>
      <c r="CG32" s="118">
        <f>IF(J32=0,0,IF(CF32&gt;300,300,CF32))</f>
        <v>0</v>
      </c>
      <c r="CH32" s="104">
        <f>IF(CG32&lt;1,0,CG32)</f>
        <v>0</v>
      </c>
      <c r="CI32" s="115"/>
      <c r="CJ32" s="115"/>
      <c r="CK32" s="120"/>
      <c r="CL32" s="77">
        <f t="shared" si="30"/>
        <v>0</v>
      </c>
      <c r="CM32" s="122">
        <f t="shared" si="31"/>
        <v>0</v>
      </c>
      <c r="CN32" s="1"/>
      <c r="CO32" s="676"/>
      <c r="CP32" s="675"/>
      <c r="CQ32" s="675"/>
      <c r="CR32" s="675"/>
      <c r="CS32" s="137"/>
      <c r="CT32" s="154"/>
      <c r="CU32" s="114"/>
      <c r="CV32" s="491"/>
      <c r="CW32" s="491"/>
      <c r="CX32" s="130"/>
      <c r="CZ32" s="42"/>
      <c r="DA32" s="82"/>
      <c r="DB32" s="110"/>
      <c r="DC32" s="131" t="s">
        <v>77</v>
      </c>
      <c r="DD32" s="157" t="str">
        <f>IF(DK30="Wheat, Alfalfa, Grasses", DT28, DT27)</f>
        <v>Buildup</v>
      </c>
      <c r="DE32" s="161"/>
      <c r="DF32" s="159"/>
      <c r="DG32" s="1"/>
      <c r="DH32" s="1"/>
      <c r="DJ32" s="1"/>
      <c r="DK32" s="1" t="str">
        <f>IF((SUM(G28:J39))=0, "One year crop rotation","Multi-year crop rotation")</f>
        <v>One year crop rotation</v>
      </c>
      <c r="DL32" s="1"/>
    </row>
    <row r="33" spans="1:119" ht="34.5" customHeight="1" thickBot="1" x14ac:dyDescent="0.3">
      <c r="A33" s="129"/>
      <c r="B33" s="692" t="s">
        <v>220</v>
      </c>
      <c r="C33" s="693"/>
      <c r="D33" s="693"/>
      <c r="E33" s="694"/>
      <c r="F33" s="443"/>
      <c r="G33" s="405"/>
      <c r="H33" s="405"/>
      <c r="I33" s="405"/>
      <c r="J33" s="457"/>
      <c r="K33" s="63"/>
      <c r="L33" s="95"/>
      <c r="M33" s="98">
        <f>(-27+(1.36*(F33*6))-30)</f>
        <v>-57</v>
      </c>
      <c r="N33" s="100">
        <f>IF(M33&gt;190,190,M33)</f>
        <v>-57</v>
      </c>
      <c r="O33" s="72">
        <f t="shared" si="2"/>
        <v>0</v>
      </c>
      <c r="P33" s="72">
        <f t="shared" si="3"/>
        <v>0</v>
      </c>
      <c r="Q33" s="73">
        <f>3.3*F33</f>
        <v>0</v>
      </c>
      <c r="R33" s="91">
        <f t="shared" si="4"/>
        <v>75</v>
      </c>
      <c r="S33" s="91">
        <f t="shared" si="50"/>
        <v>0</v>
      </c>
      <c r="T33" s="91">
        <f t="shared" si="5"/>
        <v>0</v>
      </c>
      <c r="U33" s="75">
        <f t="shared" si="6"/>
        <v>75</v>
      </c>
      <c r="V33" s="91">
        <f t="shared" si="7"/>
        <v>0</v>
      </c>
      <c r="W33" s="104">
        <f t="shared" si="32"/>
        <v>0</v>
      </c>
      <c r="X33" s="92">
        <f>8*F33</f>
        <v>0</v>
      </c>
      <c r="Y33" s="75">
        <f t="shared" si="8"/>
        <v>95</v>
      </c>
      <c r="Z33" s="188">
        <f>((X33)+20)-(((X33)+20)*($DD$27-$DM$30)/50)</f>
        <v>50</v>
      </c>
      <c r="AA33" s="188">
        <f>((X33)+20)-(((X33)+20)*($DD$27-$DM$30)/50)</f>
        <v>50</v>
      </c>
      <c r="AB33" s="188">
        <f>IF($DT$30="Maintenance",Z33,IF($DT$30="Drawdown", AA33, IF($DT$30="No more K",0,Y33)))</f>
        <v>95</v>
      </c>
      <c r="AC33" s="118">
        <f>IF(F33=0,0,IF(AB33&gt;300,300,AB33))</f>
        <v>0</v>
      </c>
      <c r="AD33" s="104">
        <f>IF(AC33&lt;1,0,AC33)</f>
        <v>0</v>
      </c>
      <c r="AE33" s="75">
        <f>3.3*G33</f>
        <v>0</v>
      </c>
      <c r="AF33" s="91">
        <f t="shared" si="10"/>
        <v>75</v>
      </c>
      <c r="AG33" s="101">
        <f t="shared" si="51"/>
        <v>0</v>
      </c>
      <c r="AH33" s="91">
        <f t="shared" si="11"/>
        <v>0</v>
      </c>
      <c r="AI33" s="75">
        <f t="shared" si="12"/>
        <v>75</v>
      </c>
      <c r="AJ33" s="118">
        <f t="shared" si="13"/>
        <v>0</v>
      </c>
      <c r="AK33" s="104">
        <f t="shared" si="34"/>
        <v>0</v>
      </c>
      <c r="AL33" s="92">
        <f>8*G33</f>
        <v>0</v>
      </c>
      <c r="AM33" s="75">
        <f>(($DM$29-$DD$27)*(1+(0.05*$DB$27)))+AL33+20</f>
        <v>95</v>
      </c>
      <c r="AN33" s="188">
        <f>((AL33)+20)-(((AL33)+20)*($DD$27-$DM$30)/50)</f>
        <v>50</v>
      </c>
      <c r="AO33" s="188">
        <f>((AL33)+20)-(((AL33)+20)*($DD$27-$DM$30)/50)</f>
        <v>50</v>
      </c>
      <c r="AP33" s="188">
        <f>IF($DT$30="Maintenance",AN33,IF($DT$30="Drawdown", AO33, IF($DT$30="No more K",0,AM33)))</f>
        <v>95</v>
      </c>
      <c r="AQ33" s="118">
        <f>IF(G33=0,0,IF(AP33&gt;300,300,AP33))</f>
        <v>0</v>
      </c>
      <c r="AR33" s="104">
        <f>IF(AQ33&lt;1,0,AQ33)</f>
        <v>0</v>
      </c>
      <c r="AS33" s="75">
        <f>3.3*H33</f>
        <v>0</v>
      </c>
      <c r="AT33" s="91">
        <f t="shared" si="15"/>
        <v>75</v>
      </c>
      <c r="AU33" s="101">
        <f t="shared" si="52"/>
        <v>0</v>
      </c>
      <c r="AV33" s="91">
        <f t="shared" si="16"/>
        <v>0</v>
      </c>
      <c r="AW33" s="75">
        <f t="shared" si="17"/>
        <v>75</v>
      </c>
      <c r="AX33" s="118">
        <f t="shared" si="18"/>
        <v>0</v>
      </c>
      <c r="AY33" s="104">
        <f t="shared" si="36"/>
        <v>0</v>
      </c>
      <c r="AZ33" s="92">
        <f>8*H33</f>
        <v>0</v>
      </c>
      <c r="BA33" s="75">
        <f>(($DM$29-$DD$27)*(1+(0.05*$DB$27)))+AZ33+20</f>
        <v>95</v>
      </c>
      <c r="BB33" s="188">
        <f>((AZ33)+20)-(((AZ33)+20)*($DD$27-$DM$30)/50)</f>
        <v>50</v>
      </c>
      <c r="BC33" s="188">
        <f>((AZ33)+20)-(((AZ33)+20)*($DD$27-$DM$30)/50)</f>
        <v>50</v>
      </c>
      <c r="BD33" s="188">
        <f>IF($DT$30="Maintenance",BB33,IF($DT$30="Drawdown", BC33, IF($DT$30="No more K",0,BA33)))</f>
        <v>95</v>
      </c>
      <c r="BE33" s="118">
        <f>IF(H33=0,0,IF(BD33&gt;300,300,BD33))</f>
        <v>0</v>
      </c>
      <c r="BF33" s="104">
        <f>IF(BE33&lt;1,0,BE33)</f>
        <v>0</v>
      </c>
      <c r="BG33" s="75">
        <f>3.3*I33</f>
        <v>0</v>
      </c>
      <c r="BH33" s="91">
        <f t="shared" si="20"/>
        <v>75</v>
      </c>
      <c r="BI33" s="101">
        <f t="shared" si="53"/>
        <v>0</v>
      </c>
      <c r="BJ33" s="91">
        <f t="shared" si="21"/>
        <v>0</v>
      </c>
      <c r="BK33" s="75">
        <f t="shared" si="22"/>
        <v>75</v>
      </c>
      <c r="BL33" s="118">
        <f t="shared" si="23"/>
        <v>0</v>
      </c>
      <c r="BM33" s="104">
        <f t="shared" si="38"/>
        <v>0</v>
      </c>
      <c r="BN33" s="92">
        <f>8*I33</f>
        <v>0</v>
      </c>
      <c r="BO33" s="75">
        <f>(($DM$29-$DD$27)*(1+(0.05*$DB$27)))+BN33+20</f>
        <v>95</v>
      </c>
      <c r="BP33" s="188">
        <f>((BN33)+20)-(((BN33)+20)*($DD$27-$DM$30)/50)</f>
        <v>50</v>
      </c>
      <c r="BQ33" s="188">
        <f>((BN33)+20)-(((BN33)+20)*($DD$27-$DM$30)/50)</f>
        <v>50</v>
      </c>
      <c r="BR33" s="188">
        <f>IF($DT$30="Maintenance",BP33,IF($DT$30="Drawdown", BQ33, IF($DT$30="No more K",0,BO33)))</f>
        <v>95</v>
      </c>
      <c r="BS33" s="118">
        <f>IF(I33=0,0,IF(BR33&gt;300,300,BR33))</f>
        <v>0</v>
      </c>
      <c r="BT33" s="104">
        <f>IF(BS33&lt;1,0,BS33)</f>
        <v>0</v>
      </c>
      <c r="BU33" s="75">
        <f>3.3*J33</f>
        <v>0</v>
      </c>
      <c r="BV33" s="91">
        <f t="shared" si="25"/>
        <v>75</v>
      </c>
      <c r="BW33" s="101">
        <f t="shared" si="54"/>
        <v>0</v>
      </c>
      <c r="BX33" s="91">
        <f t="shared" si="26"/>
        <v>0</v>
      </c>
      <c r="BY33" s="75">
        <f t="shared" si="27"/>
        <v>75</v>
      </c>
      <c r="BZ33" s="118">
        <f t="shared" si="28"/>
        <v>0</v>
      </c>
      <c r="CA33" s="104">
        <f t="shared" si="40"/>
        <v>0</v>
      </c>
      <c r="CB33" s="92">
        <f>8*J33</f>
        <v>0</v>
      </c>
      <c r="CC33" s="75">
        <f>(($DM$29-$DD$27)*(1+(0.05*$DB$27)))+CB33+20</f>
        <v>95</v>
      </c>
      <c r="CD33" s="188">
        <f>((CB33)+20)-(((CB33)+20)*($DD$27-$DM$30)/50)</f>
        <v>50</v>
      </c>
      <c r="CE33" s="188">
        <f>((CB33)+20)-(((CB33)+20)*($DD$27-$DM$30)/50)</f>
        <v>50</v>
      </c>
      <c r="CF33" s="188">
        <f>IF($DT$30="Maintenance",CD33,IF($DT$30="Drawdown", CE33, IF($DT$30="No more K",0,CC33)))</f>
        <v>95</v>
      </c>
      <c r="CG33" s="118">
        <f>IF(J33=0,0,IF(CF33&gt;300,300,CF33))</f>
        <v>0</v>
      </c>
      <c r="CH33" s="104">
        <f>IF(CG33&lt;1,0,CG33)</f>
        <v>0</v>
      </c>
      <c r="CI33" s="115"/>
      <c r="CJ33" s="115"/>
      <c r="CK33" s="120"/>
      <c r="CL33" s="77">
        <f t="shared" si="30"/>
        <v>0</v>
      </c>
      <c r="CM33" s="122">
        <f t="shared" si="31"/>
        <v>0</v>
      </c>
      <c r="CN33" s="1"/>
      <c r="CO33" s="140"/>
      <c r="CP33" s="43"/>
      <c r="CQ33" s="43"/>
      <c r="CR33" s="43"/>
      <c r="CS33" s="137"/>
      <c r="CT33" s="114"/>
      <c r="CU33" s="114"/>
      <c r="CV33" s="491"/>
      <c r="CW33" s="165"/>
      <c r="CX33" s="130"/>
      <c r="CZ33" s="42"/>
      <c r="DA33" s="64"/>
      <c r="DB33" s="111"/>
      <c r="DC33" s="147" t="s">
        <v>78</v>
      </c>
      <c r="DD33" s="158" t="str">
        <f>IF(DK31="Grain Rotation", DT29, DT30)</f>
        <v>Buildup</v>
      </c>
      <c r="DE33" s="142"/>
      <c r="DF33" s="143"/>
      <c r="DJ33" s="1"/>
      <c r="DK33" s="1"/>
      <c r="DL33" s="1"/>
    </row>
    <row r="34" spans="1:119" ht="25.15" customHeight="1" x14ac:dyDescent="0.25">
      <c r="A34" s="129"/>
      <c r="B34" s="700" t="s">
        <v>61</v>
      </c>
      <c r="C34" s="701"/>
      <c r="D34" s="701"/>
      <c r="E34" s="702"/>
      <c r="F34" s="443"/>
      <c r="G34" s="405"/>
      <c r="H34" s="405"/>
      <c r="I34" s="405"/>
      <c r="J34" s="457"/>
      <c r="K34" s="1"/>
      <c r="L34" s="95"/>
      <c r="M34" s="67">
        <f>3.8*F34</f>
        <v>0</v>
      </c>
      <c r="N34" s="68">
        <f>IF(M34&gt;150,150,M34)</f>
        <v>0</v>
      </c>
      <c r="O34" s="74">
        <f t="shared" si="2"/>
        <v>0</v>
      </c>
      <c r="P34" s="74">
        <v>0</v>
      </c>
      <c r="Q34" s="75">
        <f>0.8*F34</f>
        <v>0</v>
      </c>
      <c r="R34" s="92">
        <f t="shared" si="4"/>
        <v>75</v>
      </c>
      <c r="S34" s="118">
        <f t="shared" si="50"/>
        <v>0</v>
      </c>
      <c r="T34" s="118">
        <f t="shared" si="5"/>
        <v>0</v>
      </c>
      <c r="U34" s="75">
        <f t="shared" si="6"/>
        <v>75</v>
      </c>
      <c r="V34" s="118">
        <f t="shared" si="7"/>
        <v>0</v>
      </c>
      <c r="W34" s="104">
        <f t="shared" si="32"/>
        <v>0</v>
      </c>
      <c r="X34" s="92">
        <f>1.4*F34</f>
        <v>0</v>
      </c>
      <c r="Y34" s="75">
        <f t="shared" si="8"/>
        <v>95</v>
      </c>
      <c r="Z34" s="75">
        <f>X34+20</f>
        <v>20</v>
      </c>
      <c r="AA34" s="75">
        <f>(X34)+20-(((X34)+20)*($DD$27-($DM$29+30))/20)</f>
        <v>125</v>
      </c>
      <c r="AB34" s="75">
        <f>IF($DT$29="Maintenance",Z34,IF($DT$29="Drawdown", AA34, IF($DT$29="No more K",0,Y34)))</f>
        <v>95</v>
      </c>
      <c r="AC34" s="118">
        <f t="shared" si="9"/>
        <v>0</v>
      </c>
      <c r="AD34" s="104">
        <f t="shared" si="33"/>
        <v>0</v>
      </c>
      <c r="AE34" s="75">
        <f>0.8*G34</f>
        <v>0</v>
      </c>
      <c r="AF34" s="92">
        <f t="shared" si="10"/>
        <v>75</v>
      </c>
      <c r="AG34" s="101">
        <f t="shared" ref="AG34:AG39" si="55">AE34</f>
        <v>0</v>
      </c>
      <c r="AH34" s="118">
        <f t="shared" si="11"/>
        <v>0</v>
      </c>
      <c r="AI34" s="75">
        <f t="shared" si="12"/>
        <v>75</v>
      </c>
      <c r="AJ34" s="118">
        <f t="shared" si="13"/>
        <v>0</v>
      </c>
      <c r="AK34" s="104">
        <f t="shared" si="34"/>
        <v>0</v>
      </c>
      <c r="AL34" s="92">
        <f>1.4*G34</f>
        <v>0</v>
      </c>
      <c r="AM34" s="75">
        <f>($DN$29*(1+(0.05*$DB$27)))+AL34+20</f>
        <v>95</v>
      </c>
      <c r="AN34" s="75">
        <f>AL34+20</f>
        <v>20</v>
      </c>
      <c r="AO34" s="75">
        <f>(AL34)+20-(((AL34)+20)*($DD$27-($DM$29+30))/20)</f>
        <v>125</v>
      </c>
      <c r="AP34" s="75">
        <f>IF($DT$29="Maintenance",AN34,IF($DT$29="Drawdown", AO34, IF($DT$29="No more K",0,AM34)))</f>
        <v>95</v>
      </c>
      <c r="AQ34" s="118">
        <f t="shared" si="14"/>
        <v>0</v>
      </c>
      <c r="AR34" s="104">
        <f t="shared" si="35"/>
        <v>0</v>
      </c>
      <c r="AS34" s="77">
        <f>0.8*H34</f>
        <v>0</v>
      </c>
      <c r="AT34" s="92">
        <f t="shared" si="15"/>
        <v>75</v>
      </c>
      <c r="AU34" s="101">
        <f t="shared" ref="AU34:AU39" si="56">AS34</f>
        <v>0</v>
      </c>
      <c r="AV34" s="118">
        <f t="shared" si="16"/>
        <v>0</v>
      </c>
      <c r="AW34" s="75">
        <f t="shared" si="17"/>
        <v>75</v>
      </c>
      <c r="AX34" s="118">
        <f t="shared" si="18"/>
        <v>0</v>
      </c>
      <c r="AY34" s="104">
        <f t="shared" si="36"/>
        <v>0</v>
      </c>
      <c r="AZ34" s="92">
        <f>1.4*H34</f>
        <v>0</v>
      </c>
      <c r="BA34" s="75">
        <f>($DN$29*(1+(0.05*$DB$27)))+AZ34+20</f>
        <v>95</v>
      </c>
      <c r="BB34" s="75">
        <f>AZ34+20</f>
        <v>20</v>
      </c>
      <c r="BC34" s="75">
        <f>(AZ34)+20-(((AZ34)+20)*($DD$27-($DM$29+30))/20)</f>
        <v>125</v>
      </c>
      <c r="BD34" s="75">
        <f>IF($DT$29="Maintenance",BB34,IF($DT$29="Drawdown", BC34, IF($DT$29="No more K",0,BA34)))</f>
        <v>95</v>
      </c>
      <c r="BE34" s="118">
        <f t="shared" si="19"/>
        <v>0</v>
      </c>
      <c r="BF34" s="104">
        <f t="shared" si="37"/>
        <v>0</v>
      </c>
      <c r="BG34" s="77">
        <f>0.8*I34</f>
        <v>0</v>
      </c>
      <c r="BH34" s="92">
        <f t="shared" si="20"/>
        <v>75</v>
      </c>
      <c r="BI34" s="101">
        <f t="shared" ref="BI34:BI39" si="57">BG34</f>
        <v>0</v>
      </c>
      <c r="BJ34" s="118">
        <f t="shared" si="21"/>
        <v>0</v>
      </c>
      <c r="BK34" s="75">
        <f t="shared" si="22"/>
        <v>75</v>
      </c>
      <c r="BL34" s="118">
        <f t="shared" si="23"/>
        <v>0</v>
      </c>
      <c r="BM34" s="104">
        <f t="shared" si="38"/>
        <v>0</v>
      </c>
      <c r="BN34" s="92">
        <f>1.4*I34</f>
        <v>0</v>
      </c>
      <c r="BO34" s="75">
        <f>($DN$29*(1+(0.05*$DB$27)))+BN34+20</f>
        <v>95</v>
      </c>
      <c r="BP34" s="75">
        <f>BN34+20</f>
        <v>20</v>
      </c>
      <c r="BQ34" s="75">
        <f>(BN34)+20-(((BN34)+20)*($DD$27-($DM$29+30))/20)</f>
        <v>125</v>
      </c>
      <c r="BR34" s="75">
        <f>IF($DT$29="Maintenance",BP34,IF($DT$29="Drawdown", BQ34, IF($DT$29="No more K",0,BO34)))</f>
        <v>95</v>
      </c>
      <c r="BS34" s="118">
        <f t="shared" si="24"/>
        <v>0</v>
      </c>
      <c r="BT34" s="104">
        <f t="shared" si="39"/>
        <v>0</v>
      </c>
      <c r="BU34" s="77">
        <f>0.8*J34</f>
        <v>0</v>
      </c>
      <c r="BV34" s="92">
        <f t="shared" si="25"/>
        <v>75</v>
      </c>
      <c r="BW34" s="101">
        <f t="shared" ref="BW34:BW39" si="58">BU34</f>
        <v>0</v>
      </c>
      <c r="BX34" s="118">
        <f t="shared" si="26"/>
        <v>0</v>
      </c>
      <c r="BY34" s="75">
        <f t="shared" si="27"/>
        <v>75</v>
      </c>
      <c r="BZ34" s="118">
        <f t="shared" si="28"/>
        <v>0</v>
      </c>
      <c r="CA34" s="104">
        <f t="shared" si="40"/>
        <v>0</v>
      </c>
      <c r="CB34" s="92">
        <f>1.4*J34</f>
        <v>0</v>
      </c>
      <c r="CC34" s="75">
        <f>($DN$29*(1+(0.05*$DB$27)))+CB34+20</f>
        <v>95</v>
      </c>
      <c r="CD34" s="75">
        <f>CB34+20</f>
        <v>20</v>
      </c>
      <c r="CE34" s="75">
        <f>(CB34)+20-(((CB34)+20)*($DD$27-($DM$29+30))/20)</f>
        <v>125</v>
      </c>
      <c r="CF34" s="75">
        <f>IF($DT$29="Maintenance",CD34,IF($DT$29="Drawdown", CE34, IF($DT$29="No more K",0,CC34)))</f>
        <v>95</v>
      </c>
      <c r="CG34" s="118">
        <f t="shared" si="29"/>
        <v>0</v>
      </c>
      <c r="CH34" s="104">
        <f t="shared" si="41"/>
        <v>0</v>
      </c>
      <c r="CI34" s="115"/>
      <c r="CJ34" s="115"/>
      <c r="CK34" s="120"/>
      <c r="CL34" s="77">
        <f t="shared" si="30"/>
        <v>0</v>
      </c>
      <c r="CM34" s="122">
        <f t="shared" si="31"/>
        <v>0</v>
      </c>
      <c r="CN34" s="1"/>
      <c r="CO34" s="141"/>
      <c r="CP34" s="144">
        <f>IF(CS52&lt;0,0,IF(CS52&gt;250,250,CS52))</f>
        <v>0</v>
      </c>
      <c r="CQ34" s="570" t="s">
        <v>132</v>
      </c>
      <c r="CR34" s="571"/>
      <c r="CS34" s="137"/>
      <c r="CT34" s="319">
        <f>CP34/0.52</f>
        <v>0</v>
      </c>
      <c r="CU34" s="579" t="s">
        <v>230</v>
      </c>
      <c r="CV34" s="580"/>
      <c r="CW34" s="581"/>
      <c r="CX34" s="130"/>
      <c r="CZ34" s="42"/>
      <c r="DA34" s="64"/>
      <c r="DB34" s="199" t="s">
        <v>76</v>
      </c>
      <c r="DE34" s="1"/>
      <c r="DF34" s="1"/>
      <c r="DG34" s="1"/>
      <c r="DH34" s="1"/>
      <c r="DK34" s="1"/>
      <c r="DL34" s="1"/>
      <c r="DM34" s="419">
        <f>IF($I$5=DO5,F51," ")</f>
        <v>10000</v>
      </c>
      <c r="DN34" s="420">
        <f>IF($I$5=DO5,(13560-DM34),"-1")</f>
        <v>3560</v>
      </c>
      <c r="DO34" s="2" t="str">
        <f>IF(DN34&gt;0, " ", "Liquid manure applications must be less than 13,560 gal/ac per application event and not exceed Available Water Capacity (ODA Rules &amp; NRCS 590).")</f>
        <v xml:space="preserve"> </v>
      </c>
    </row>
    <row r="35" spans="1:119" ht="30.75" customHeight="1" x14ac:dyDescent="0.25">
      <c r="A35" s="129"/>
      <c r="B35" s="692" t="s">
        <v>70</v>
      </c>
      <c r="C35" s="693"/>
      <c r="D35" s="693"/>
      <c r="E35" s="694"/>
      <c r="F35" s="443"/>
      <c r="G35" s="405"/>
      <c r="H35" s="405"/>
      <c r="I35" s="405"/>
      <c r="J35" s="457"/>
      <c r="K35" s="1"/>
      <c r="L35" s="95"/>
      <c r="M35" s="98">
        <f>3.8*F35</f>
        <v>0</v>
      </c>
      <c r="N35" s="100">
        <f>IF(M35&gt;150,150,M35)</f>
        <v>0</v>
      </c>
      <c r="O35" s="72">
        <f t="shared" si="2"/>
        <v>0</v>
      </c>
      <c r="P35" s="72">
        <v>0</v>
      </c>
      <c r="Q35" s="73">
        <f>0.8*F35+0.24*F35</f>
        <v>0</v>
      </c>
      <c r="R35" s="93">
        <f t="shared" si="4"/>
        <v>75</v>
      </c>
      <c r="S35" s="91">
        <f t="shared" ref="S35" si="59">Q35</f>
        <v>0</v>
      </c>
      <c r="T35" s="91">
        <f t="shared" si="5"/>
        <v>0</v>
      </c>
      <c r="U35" s="75">
        <f t="shared" si="6"/>
        <v>75</v>
      </c>
      <c r="V35" s="91">
        <f t="shared" si="7"/>
        <v>0</v>
      </c>
      <c r="W35" s="104">
        <f t="shared" si="32"/>
        <v>0</v>
      </c>
      <c r="X35" s="92">
        <f>1.4*F35+1*F35</f>
        <v>0</v>
      </c>
      <c r="Y35" s="75">
        <f t="shared" si="8"/>
        <v>95</v>
      </c>
      <c r="Z35" s="75">
        <f>X35+20</f>
        <v>20</v>
      </c>
      <c r="AA35" s="75">
        <f>(X35)+20-(((X35)+20)*($DD$27-($DM$29+30))/20)</f>
        <v>125</v>
      </c>
      <c r="AB35" s="75">
        <f>IF($DT$29="Maintenance",Z35,IF($DT$29="Drawdown", AA35, IF($DT$29="No more K",0,Y35)))</f>
        <v>95</v>
      </c>
      <c r="AC35" s="118">
        <f t="shared" si="9"/>
        <v>0</v>
      </c>
      <c r="AD35" s="104">
        <f t="shared" si="33"/>
        <v>0</v>
      </c>
      <c r="AE35" s="75">
        <f>0.8*G35+0.24*G35</f>
        <v>0</v>
      </c>
      <c r="AF35" s="93">
        <f t="shared" si="10"/>
        <v>75</v>
      </c>
      <c r="AG35" s="118">
        <f t="shared" si="55"/>
        <v>0</v>
      </c>
      <c r="AH35" s="91">
        <f t="shared" si="11"/>
        <v>0</v>
      </c>
      <c r="AI35" s="75">
        <f t="shared" si="12"/>
        <v>75</v>
      </c>
      <c r="AJ35" s="118">
        <f t="shared" si="13"/>
        <v>0</v>
      </c>
      <c r="AK35" s="104">
        <f t="shared" si="34"/>
        <v>0</v>
      </c>
      <c r="AL35" s="92">
        <f>1.4*G35+1*G35</f>
        <v>0</v>
      </c>
      <c r="AM35" s="75">
        <f>(($DM$29-$DD$27)*(1+(0.05*$DB$27)))+AL35+20</f>
        <v>95</v>
      </c>
      <c r="AN35" s="75">
        <f>AL35+20</f>
        <v>20</v>
      </c>
      <c r="AO35" s="75">
        <f>(AL35)+20-(((AL35)+20)*($DD$27-($DM$29+30))/20)</f>
        <v>125</v>
      </c>
      <c r="AP35" s="75">
        <f>IF($DT$29="Maintenance",AN35,IF($DT$29="Drawdown", AO35, IF($DT$29="No more K",0,AM35)))</f>
        <v>95</v>
      </c>
      <c r="AQ35" s="118">
        <f t="shared" si="14"/>
        <v>0</v>
      </c>
      <c r="AR35" s="104">
        <f t="shared" si="35"/>
        <v>0</v>
      </c>
      <c r="AS35" s="75">
        <f>0.8*H35+0.24*H35</f>
        <v>0</v>
      </c>
      <c r="AT35" s="93">
        <f t="shared" si="15"/>
        <v>75</v>
      </c>
      <c r="AU35" s="118">
        <f t="shared" si="56"/>
        <v>0</v>
      </c>
      <c r="AV35" s="91">
        <f t="shared" si="16"/>
        <v>0</v>
      </c>
      <c r="AW35" s="75">
        <f t="shared" si="17"/>
        <v>75</v>
      </c>
      <c r="AX35" s="118">
        <f t="shared" si="18"/>
        <v>0</v>
      </c>
      <c r="AY35" s="104">
        <f t="shared" si="36"/>
        <v>0</v>
      </c>
      <c r="AZ35" s="92">
        <f>1.4*H35+1*H35</f>
        <v>0</v>
      </c>
      <c r="BA35" s="75">
        <f>(($DM$29-$DD$27)*(1+(0.05*$DB$27)))+AZ35+20</f>
        <v>95</v>
      </c>
      <c r="BB35" s="75">
        <f>AZ35+20</f>
        <v>20</v>
      </c>
      <c r="BC35" s="75">
        <f>(AZ35)+20-(((AZ35)+20)*($DD$27-($DM$29+30))/20)</f>
        <v>125</v>
      </c>
      <c r="BD35" s="75">
        <f>IF($DT$29="Maintenance",BB35,IF($DT$29="Drawdown", BC35, IF($DT$29="No more K",0,BA35)))</f>
        <v>95</v>
      </c>
      <c r="BE35" s="118">
        <f t="shared" si="19"/>
        <v>0</v>
      </c>
      <c r="BF35" s="104">
        <f t="shared" si="37"/>
        <v>0</v>
      </c>
      <c r="BG35" s="75">
        <f>0.8*I35+0.24*I35</f>
        <v>0</v>
      </c>
      <c r="BH35" s="93">
        <f t="shared" si="20"/>
        <v>75</v>
      </c>
      <c r="BI35" s="118">
        <f t="shared" si="57"/>
        <v>0</v>
      </c>
      <c r="BJ35" s="91">
        <f t="shared" si="21"/>
        <v>0</v>
      </c>
      <c r="BK35" s="75">
        <f t="shared" si="22"/>
        <v>75</v>
      </c>
      <c r="BL35" s="118">
        <f t="shared" si="23"/>
        <v>0</v>
      </c>
      <c r="BM35" s="104">
        <f t="shared" si="38"/>
        <v>0</v>
      </c>
      <c r="BN35" s="92">
        <f>1.4*I35+1*I35</f>
        <v>0</v>
      </c>
      <c r="BO35" s="75">
        <f>(($DM$29-$DD$27)*(1+(0.05*$DB$27)))+BN35+20</f>
        <v>95</v>
      </c>
      <c r="BP35" s="75">
        <f>BN35+20</f>
        <v>20</v>
      </c>
      <c r="BQ35" s="75">
        <f>(BN35)+20-(((BN35)+20)*($DD$27-($DM$29+30))/20)</f>
        <v>125</v>
      </c>
      <c r="BR35" s="75">
        <f>IF($DT$29="Maintenance",BP35,IF($DT$29="Drawdown", BQ35, IF($DT$29="No more K",0,BO35)))</f>
        <v>95</v>
      </c>
      <c r="BS35" s="118">
        <f t="shared" si="24"/>
        <v>0</v>
      </c>
      <c r="BT35" s="104">
        <f t="shared" si="39"/>
        <v>0</v>
      </c>
      <c r="BU35" s="75">
        <f>0.8*J35+0.24*J35</f>
        <v>0</v>
      </c>
      <c r="BV35" s="93">
        <f t="shared" si="25"/>
        <v>75</v>
      </c>
      <c r="BW35" s="118">
        <f t="shared" si="58"/>
        <v>0</v>
      </c>
      <c r="BX35" s="91">
        <f t="shared" si="26"/>
        <v>0</v>
      </c>
      <c r="BY35" s="75">
        <f t="shared" si="27"/>
        <v>75</v>
      </c>
      <c r="BZ35" s="118">
        <f t="shared" si="28"/>
        <v>0</v>
      </c>
      <c r="CA35" s="104">
        <f t="shared" si="40"/>
        <v>0</v>
      </c>
      <c r="CB35" s="92">
        <f>1.4*J35+1*J35</f>
        <v>0</v>
      </c>
      <c r="CC35" s="75">
        <f>(($DM$29-$DD$27)*(1+(0.05*$DB$27)))+CB35+20</f>
        <v>95</v>
      </c>
      <c r="CD35" s="75">
        <f>CB35+20</f>
        <v>20</v>
      </c>
      <c r="CE35" s="75">
        <f>(CB35)+20-(((CB35)+20)*($DD$27-($DM$29+30))/20)</f>
        <v>125</v>
      </c>
      <c r="CF35" s="75">
        <f>IF($DT$29="Maintenance",CD35,IF($DT$29="Drawdown", CE35, IF($DT$29="No more K",0,CC35)))</f>
        <v>95</v>
      </c>
      <c r="CG35" s="118">
        <f t="shared" si="29"/>
        <v>0</v>
      </c>
      <c r="CH35" s="104">
        <f t="shared" si="41"/>
        <v>0</v>
      </c>
      <c r="CI35" s="115"/>
      <c r="CJ35" s="115"/>
      <c r="CK35" s="120"/>
      <c r="CL35" s="77">
        <f t="shared" ref="CL35" si="60">W35+AK35+AY35+BM35+CA35</f>
        <v>0</v>
      </c>
      <c r="CM35" s="122">
        <f t="shared" ref="CM35" si="61">AD35+AR35+BF35+BT35+CH35</f>
        <v>0</v>
      </c>
      <c r="CN35" s="1"/>
      <c r="CO35" s="141"/>
      <c r="CP35" s="575" t="str">
        <f>IF(I44&gt;250,"*Rec. is limited to 250 lbs P2O5/ac/yr total. More P will be needed for later years of crop rotation."," ")</f>
        <v xml:space="preserve"> </v>
      </c>
      <c r="CQ35" s="576"/>
      <c r="CR35" s="576"/>
      <c r="CS35" s="64"/>
      <c r="CT35" s="572" t="s">
        <v>65</v>
      </c>
      <c r="CU35" s="572"/>
      <c r="CV35" s="572"/>
      <c r="CW35" s="572"/>
      <c r="CX35" s="130"/>
      <c r="DB35" s="346"/>
      <c r="DC35" s="1"/>
      <c r="DD35" s="1"/>
      <c r="DE35" s="1"/>
      <c r="DF35" s="1"/>
    </row>
    <row r="36" spans="1:119" ht="27" customHeight="1" x14ac:dyDescent="0.25">
      <c r="A36" s="129"/>
      <c r="B36" s="700" t="s">
        <v>62</v>
      </c>
      <c r="C36" s="701"/>
      <c r="D36" s="701"/>
      <c r="E36" s="702"/>
      <c r="F36" s="443"/>
      <c r="G36" s="405"/>
      <c r="H36" s="405"/>
      <c r="I36" s="405"/>
      <c r="J36" s="457"/>
      <c r="K36" s="1"/>
      <c r="L36" s="95"/>
      <c r="M36" s="67">
        <f>(40+1.75*(F36-50))</f>
        <v>-47.5</v>
      </c>
      <c r="N36" s="68">
        <f>IF(M36&gt;130,130,M36)</f>
        <v>-47.5</v>
      </c>
      <c r="O36" s="74">
        <f t="shared" si="2"/>
        <v>0</v>
      </c>
      <c r="P36" s="74">
        <f>O36</f>
        <v>0</v>
      </c>
      <c r="Q36" s="75">
        <f>0.64*F36</f>
        <v>0</v>
      </c>
      <c r="R36" s="186">
        <f>($DM$28-$DC$27)*5+Q36</f>
        <v>125</v>
      </c>
      <c r="S36" s="118">
        <f t="shared" si="50"/>
        <v>0</v>
      </c>
      <c r="T36" s="185">
        <f>Q36-(Q36*($DC$27-($DM$28+15))/10)</f>
        <v>0</v>
      </c>
      <c r="U36" s="188">
        <f>IF($DT$28="Maintenance",S36,IF($DT$28="Drawdown", T36, IF($DT$28="No more P",0,R36)))</f>
        <v>125</v>
      </c>
      <c r="V36" s="118">
        <f t="shared" si="7"/>
        <v>0</v>
      </c>
      <c r="W36" s="104">
        <f t="shared" si="32"/>
        <v>0</v>
      </c>
      <c r="X36" s="92">
        <f>0.36*F36</f>
        <v>0</v>
      </c>
      <c r="Y36" s="75">
        <f t="shared" si="8"/>
        <v>95</v>
      </c>
      <c r="Z36" s="75">
        <f t="shared" ref="Z36:Z37" si="62">X36+20</f>
        <v>20</v>
      </c>
      <c r="AA36" s="75">
        <f>(X36)+20-(((X36)+20)*($DD$27-($DM$29+30))/20)</f>
        <v>125</v>
      </c>
      <c r="AB36" s="75">
        <f>IF($DT$29="Maintenance",Z36,IF($DT$29="Drawdown", AA36, IF($DT$29="No more K",0,Y36)))</f>
        <v>95</v>
      </c>
      <c r="AC36" s="118">
        <f t="shared" si="9"/>
        <v>0</v>
      </c>
      <c r="AD36" s="104">
        <f t="shared" si="33"/>
        <v>0</v>
      </c>
      <c r="AE36" s="75">
        <f>0.64*G36</f>
        <v>0</v>
      </c>
      <c r="AF36" s="186">
        <f>($DM$28-$DC$27)*5+AE36</f>
        <v>125</v>
      </c>
      <c r="AG36" s="101">
        <f t="shared" si="55"/>
        <v>0</v>
      </c>
      <c r="AH36" s="185">
        <f>AE36-(AE36*($DC$27-($DM$28+15))/10)</f>
        <v>0</v>
      </c>
      <c r="AI36" s="188">
        <f>IF($DT$28="Maintenance",AG36,IF($DT$28="Drawdown", AH36, IF($DT$28="No more P",0,AF36)))</f>
        <v>125</v>
      </c>
      <c r="AJ36" s="118">
        <f t="shared" si="13"/>
        <v>0</v>
      </c>
      <c r="AK36" s="104">
        <f t="shared" si="34"/>
        <v>0</v>
      </c>
      <c r="AL36" s="92">
        <f>0.36*G36</f>
        <v>0</v>
      </c>
      <c r="AM36" s="75">
        <f>($DN$29*(1+(0.05*$DB$27)))+AL36+20</f>
        <v>95</v>
      </c>
      <c r="AN36" s="75">
        <f t="shared" ref="AN36:AN37" si="63">AL36+20</f>
        <v>20</v>
      </c>
      <c r="AO36" s="75">
        <f>(AL36)+20-(((AL36)+20)*($DD$27-($DM$29+30))/20)</f>
        <v>125</v>
      </c>
      <c r="AP36" s="75">
        <f>IF($DT$29="Maintenance",AN36,IF($DT$29="Drawdown", AO36, IF($DT$29="No more K",0,AM36)))</f>
        <v>95</v>
      </c>
      <c r="AQ36" s="118">
        <f t="shared" si="14"/>
        <v>0</v>
      </c>
      <c r="AR36" s="104">
        <f t="shared" si="35"/>
        <v>0</v>
      </c>
      <c r="AS36" s="77">
        <f>0.64*H36</f>
        <v>0</v>
      </c>
      <c r="AT36" s="186">
        <f>($DM$28-$DC$27)*5+AS36</f>
        <v>125</v>
      </c>
      <c r="AU36" s="101">
        <f t="shared" si="56"/>
        <v>0</v>
      </c>
      <c r="AV36" s="185">
        <f>AS36-(AS36*($DC$27-($DM$28+15))/10)</f>
        <v>0</v>
      </c>
      <c r="AW36" s="188">
        <f>IF($DT$28="Maintenance",AU36,IF($DT$28="Drawdown", AV36, IF($DT$28="No more P",0,AT36)))</f>
        <v>125</v>
      </c>
      <c r="AX36" s="118">
        <f t="shared" si="18"/>
        <v>0</v>
      </c>
      <c r="AY36" s="104">
        <f t="shared" si="36"/>
        <v>0</v>
      </c>
      <c r="AZ36" s="92">
        <f>0.36*H36</f>
        <v>0</v>
      </c>
      <c r="BA36" s="75">
        <f>($DN$29*(1+(0.05*$DB$27)))+AZ36+20</f>
        <v>95</v>
      </c>
      <c r="BB36" s="75">
        <f t="shared" ref="BB36:BB37" si="64">AZ36+20</f>
        <v>20</v>
      </c>
      <c r="BC36" s="75">
        <f>(AZ36)+20-(((AZ36)+20)*($DD$27-($DM$29+30))/20)</f>
        <v>125</v>
      </c>
      <c r="BD36" s="75">
        <f>IF($DT$29="Maintenance",BB36,IF($DT$29="Drawdown", BC36, IF($DT$29="No more K",0,BA36)))</f>
        <v>95</v>
      </c>
      <c r="BE36" s="118">
        <f t="shared" si="19"/>
        <v>0</v>
      </c>
      <c r="BF36" s="104">
        <f t="shared" si="37"/>
        <v>0</v>
      </c>
      <c r="BG36" s="77">
        <f>0.64*I36</f>
        <v>0</v>
      </c>
      <c r="BH36" s="186">
        <f>($DM$28-$DC$27)*5+BG36</f>
        <v>125</v>
      </c>
      <c r="BI36" s="101">
        <f t="shared" si="57"/>
        <v>0</v>
      </c>
      <c r="BJ36" s="185">
        <f>BG36-(BG36*($DC$27-($DM$28+15))/10)</f>
        <v>0</v>
      </c>
      <c r="BK36" s="188">
        <f>IF($DT$28="Maintenance",BI36,IF($DT$28="Drawdown", BJ36, IF($DT$28="No more P",0,BH36)))</f>
        <v>125</v>
      </c>
      <c r="BL36" s="118">
        <f t="shared" si="23"/>
        <v>0</v>
      </c>
      <c r="BM36" s="104">
        <f t="shared" si="38"/>
        <v>0</v>
      </c>
      <c r="BN36" s="92">
        <f>0.36*I36</f>
        <v>0</v>
      </c>
      <c r="BO36" s="75">
        <f>($DN$29*(1+(0.05*$DB$27)))+BN36+20</f>
        <v>95</v>
      </c>
      <c r="BP36" s="75">
        <f t="shared" ref="BP36:BP37" si="65">BN36+20</f>
        <v>20</v>
      </c>
      <c r="BQ36" s="75">
        <f>(BN36)+20-(((BN36)+20)*($DD$27-($DM$29+30))/20)</f>
        <v>125</v>
      </c>
      <c r="BR36" s="75">
        <f>IF($DT$29="Maintenance",BP36,IF($DT$29="Drawdown", BQ36, IF($DT$29="No more K",0,BO36)))</f>
        <v>95</v>
      </c>
      <c r="BS36" s="118">
        <f t="shared" si="24"/>
        <v>0</v>
      </c>
      <c r="BT36" s="104">
        <f t="shared" si="39"/>
        <v>0</v>
      </c>
      <c r="BU36" s="77">
        <f>0.64*J36</f>
        <v>0</v>
      </c>
      <c r="BV36" s="186">
        <f>($DM$28-$DC$27)*5+BU36</f>
        <v>125</v>
      </c>
      <c r="BW36" s="101">
        <f t="shared" si="58"/>
        <v>0</v>
      </c>
      <c r="BX36" s="185">
        <f>BU36-(BU36*($DC$27-($DM$28+15))/10)</f>
        <v>0</v>
      </c>
      <c r="BY36" s="188">
        <f>IF($DT$28="Maintenance",BW36,IF($DT$28="Drawdown", BX36, IF($DT$28="No more P",0,BV36)))</f>
        <v>125</v>
      </c>
      <c r="BZ36" s="118">
        <f t="shared" si="28"/>
        <v>0</v>
      </c>
      <c r="CA36" s="104">
        <f t="shared" si="40"/>
        <v>0</v>
      </c>
      <c r="CB36" s="92">
        <f>0.36*J36</f>
        <v>0</v>
      </c>
      <c r="CC36" s="75">
        <f>($DN$29*(1+(0.05*$DB$27)))+CB36+20</f>
        <v>95</v>
      </c>
      <c r="CD36" s="75">
        <f t="shared" ref="CD36:CD37" si="66">CB36+20</f>
        <v>20</v>
      </c>
      <c r="CE36" s="75">
        <f>(CB36)+20-(((CB36)+20)*($DD$27-($DM$29+30))/20)</f>
        <v>125</v>
      </c>
      <c r="CF36" s="75">
        <f>IF($DT$29="Maintenance",CD36,IF($DT$29="Drawdown", CE36, IF($DT$29="No more K",0,CC36)))</f>
        <v>95</v>
      </c>
      <c r="CG36" s="118">
        <f t="shared" si="29"/>
        <v>0</v>
      </c>
      <c r="CH36" s="104">
        <f t="shared" si="41"/>
        <v>0</v>
      </c>
      <c r="CI36" s="115"/>
      <c r="CJ36" s="115"/>
      <c r="CK36" s="120"/>
      <c r="CL36" s="77">
        <f t="shared" si="30"/>
        <v>0</v>
      </c>
      <c r="CM36" s="122">
        <f t="shared" si="31"/>
        <v>0</v>
      </c>
      <c r="CN36" s="1"/>
      <c r="CO36" s="129"/>
      <c r="CP36" s="577"/>
      <c r="CQ36" s="577"/>
      <c r="CR36" s="577"/>
      <c r="CS36" s="64"/>
      <c r="CT36" s="319">
        <f>CP34/0.46</f>
        <v>0</v>
      </c>
      <c r="CU36" s="579" t="s">
        <v>231</v>
      </c>
      <c r="CV36" s="580"/>
      <c r="CW36" s="581"/>
      <c r="CX36" s="130"/>
      <c r="DB36" s="346"/>
    </row>
    <row r="37" spans="1:119" ht="25.15" customHeight="1" thickBot="1" x14ac:dyDescent="0.3">
      <c r="A37" s="129"/>
      <c r="B37" s="692" t="s">
        <v>63</v>
      </c>
      <c r="C37" s="693"/>
      <c r="D37" s="693"/>
      <c r="E37" s="694"/>
      <c r="F37" s="443"/>
      <c r="G37" s="405"/>
      <c r="H37" s="405"/>
      <c r="I37" s="405"/>
      <c r="J37" s="457"/>
      <c r="K37" s="1"/>
      <c r="L37" s="95"/>
      <c r="M37" s="98">
        <f>(40+1.75*(F37-50))</f>
        <v>-47.5</v>
      </c>
      <c r="N37" s="100">
        <f>IF(M37&gt;130,130,M37)</f>
        <v>-47.5</v>
      </c>
      <c r="O37" s="72">
        <f t="shared" si="2"/>
        <v>0</v>
      </c>
      <c r="P37" s="72">
        <f>O37</f>
        <v>0</v>
      </c>
      <c r="Q37" s="73">
        <f>(0.64+0.09)*F37</f>
        <v>0</v>
      </c>
      <c r="R37" s="186">
        <f>($DM$28-$DC$27)*5+Q37</f>
        <v>125</v>
      </c>
      <c r="S37" s="91">
        <f t="shared" si="50"/>
        <v>0</v>
      </c>
      <c r="T37" s="185">
        <f>Q37-(Q37*($DC$27-($DM$28+15))/10)</f>
        <v>0</v>
      </c>
      <c r="U37" s="188">
        <f>IF($DT$28="Maintenance",S37,IF($DT$28="Drawdown", T37, IF($DT$28="No more P",0,R37)))</f>
        <v>125</v>
      </c>
      <c r="V37" s="91">
        <f t="shared" si="7"/>
        <v>0</v>
      </c>
      <c r="W37" s="104">
        <f t="shared" si="32"/>
        <v>0</v>
      </c>
      <c r="X37" s="92">
        <f>(0.36+0.91)*F37</f>
        <v>0</v>
      </c>
      <c r="Y37" s="75">
        <f t="shared" si="8"/>
        <v>95</v>
      </c>
      <c r="Z37" s="75">
        <f t="shared" si="62"/>
        <v>20</v>
      </c>
      <c r="AA37" s="75">
        <f>(X37)+20-(((X37)+20)*($DD$27-($DM$29+30))/20)</f>
        <v>125</v>
      </c>
      <c r="AB37" s="75">
        <f>IF($DT$29="Maintenance",Z37,IF($DT$29="Drawdown", AA37, IF($DT$29="No more K",0,Y37)))</f>
        <v>95</v>
      </c>
      <c r="AC37" s="118">
        <f t="shared" si="9"/>
        <v>0</v>
      </c>
      <c r="AD37" s="104">
        <f t="shared" si="33"/>
        <v>0</v>
      </c>
      <c r="AE37" s="75">
        <f>(0.64+0.09)*G37</f>
        <v>0</v>
      </c>
      <c r="AF37" s="186">
        <f>($DM$28-$DC$27)*5+AE37</f>
        <v>125</v>
      </c>
      <c r="AG37" s="101">
        <f t="shared" si="55"/>
        <v>0</v>
      </c>
      <c r="AH37" s="185">
        <f>AE37-(AE37*($DC$27-($DM$28+15))/10)</f>
        <v>0</v>
      </c>
      <c r="AI37" s="188">
        <f>IF($DT$28="Maintenance",AG37,IF($DT$28="Drawdown", AH37, IF($DT$28="No more P",0,AF37)))</f>
        <v>125</v>
      </c>
      <c r="AJ37" s="118">
        <f t="shared" si="13"/>
        <v>0</v>
      </c>
      <c r="AK37" s="104">
        <f t="shared" si="34"/>
        <v>0</v>
      </c>
      <c r="AL37" s="92">
        <f>(0.36+0.91)*G37</f>
        <v>0</v>
      </c>
      <c r="AM37" s="75">
        <f>($DN$29*(1+(0.05*$DB$27)))+AL37+20</f>
        <v>95</v>
      </c>
      <c r="AN37" s="75">
        <f t="shared" si="63"/>
        <v>20</v>
      </c>
      <c r="AO37" s="75">
        <f>(AL37)+20-(((AL37)+20)*($DD$27-($DM$29+30))/20)</f>
        <v>125</v>
      </c>
      <c r="AP37" s="75">
        <f>IF($DT$29="Maintenance",AN37,IF($DT$29="Drawdown", AO37, IF($DT$29="No more K",0,AM37)))</f>
        <v>95</v>
      </c>
      <c r="AQ37" s="118">
        <f t="shared" si="14"/>
        <v>0</v>
      </c>
      <c r="AR37" s="104">
        <f t="shared" si="35"/>
        <v>0</v>
      </c>
      <c r="AS37" s="77">
        <f>(0.64+0.09)*H37</f>
        <v>0</v>
      </c>
      <c r="AT37" s="186">
        <f>($DM$28-$DC$27)*5+AS37</f>
        <v>125</v>
      </c>
      <c r="AU37" s="101">
        <f t="shared" si="56"/>
        <v>0</v>
      </c>
      <c r="AV37" s="185">
        <f>AS37-(AS37*($DC$27-($DM$28+15))/10)</f>
        <v>0</v>
      </c>
      <c r="AW37" s="188">
        <f>IF($DT$28="Maintenance",AU37,IF($DT$28="Drawdown", AV37, IF($DT$28="No more P",0,AT37)))</f>
        <v>125</v>
      </c>
      <c r="AX37" s="118">
        <f t="shared" si="18"/>
        <v>0</v>
      </c>
      <c r="AY37" s="104">
        <f t="shared" si="36"/>
        <v>0</v>
      </c>
      <c r="AZ37" s="92">
        <f>(0.36+0.91)*H37</f>
        <v>0</v>
      </c>
      <c r="BA37" s="75">
        <f>($DN$29*(1+(0.05*$DB$27)))+AZ37+20</f>
        <v>95</v>
      </c>
      <c r="BB37" s="75">
        <f t="shared" si="64"/>
        <v>20</v>
      </c>
      <c r="BC37" s="75">
        <f>(AZ37)+20-(((AZ37)+20)*($DD$27-($DM$29+30))/20)</f>
        <v>125</v>
      </c>
      <c r="BD37" s="75">
        <f>IF($DT$29="Maintenance",BB37,IF($DT$29="Drawdown", BC37, IF($DT$29="No more K",0,BA37)))</f>
        <v>95</v>
      </c>
      <c r="BE37" s="118">
        <f t="shared" si="19"/>
        <v>0</v>
      </c>
      <c r="BF37" s="104">
        <f t="shared" si="37"/>
        <v>0</v>
      </c>
      <c r="BG37" s="77">
        <f>(0.64+0.09)*I37</f>
        <v>0</v>
      </c>
      <c r="BH37" s="186">
        <f>($DM$28-$DC$27)*5+BG37</f>
        <v>125</v>
      </c>
      <c r="BI37" s="101">
        <f t="shared" si="57"/>
        <v>0</v>
      </c>
      <c r="BJ37" s="185">
        <f>BG37-(BG37*($DC$27-($DM$28+15))/10)</f>
        <v>0</v>
      </c>
      <c r="BK37" s="188">
        <f>IF($DT$28="Maintenance",BI37,IF($DT$28="Drawdown", BJ37, IF($DT$28="No more P",0,BH37)))</f>
        <v>125</v>
      </c>
      <c r="BL37" s="118">
        <f t="shared" si="23"/>
        <v>0</v>
      </c>
      <c r="BM37" s="104">
        <f t="shared" si="38"/>
        <v>0</v>
      </c>
      <c r="BN37" s="92">
        <f>(0.36+0.91)*I37</f>
        <v>0</v>
      </c>
      <c r="BO37" s="75">
        <f>($DN$29*(1+(0.05*$DB$27)))+BN37+20</f>
        <v>95</v>
      </c>
      <c r="BP37" s="75">
        <f t="shared" si="65"/>
        <v>20</v>
      </c>
      <c r="BQ37" s="75">
        <f>(BN37)+20-(((BN37)+20)*($DD$27-($DM$29+30))/20)</f>
        <v>125</v>
      </c>
      <c r="BR37" s="75">
        <f>IF($DT$29="Maintenance",BP37,IF($DT$29="Drawdown", BQ37, IF($DT$29="No more K",0,BO37)))</f>
        <v>95</v>
      </c>
      <c r="BS37" s="118">
        <f t="shared" si="24"/>
        <v>0</v>
      </c>
      <c r="BT37" s="104">
        <f t="shared" si="39"/>
        <v>0</v>
      </c>
      <c r="BU37" s="77">
        <f>(0.64+0.09)*J37</f>
        <v>0</v>
      </c>
      <c r="BV37" s="186">
        <f>($DM$28-$DC$27)*5+BU37</f>
        <v>125</v>
      </c>
      <c r="BW37" s="101">
        <f t="shared" si="58"/>
        <v>0</v>
      </c>
      <c r="BX37" s="185">
        <f>BU37-(BU37*($DC$27-($DM$28+15))/10)</f>
        <v>0</v>
      </c>
      <c r="BY37" s="188">
        <f>IF($DT$28="Maintenance",BW37,IF($DT$28="Drawdown", BX37, IF($DT$28="No more P",0,BV37)))</f>
        <v>125</v>
      </c>
      <c r="BZ37" s="118">
        <f t="shared" si="28"/>
        <v>0</v>
      </c>
      <c r="CA37" s="104">
        <f t="shared" si="40"/>
        <v>0</v>
      </c>
      <c r="CB37" s="92">
        <f>(0.36+0.91)*J37</f>
        <v>0</v>
      </c>
      <c r="CC37" s="75">
        <f>($DN$29*(1+(0.05*$DB$27)))+CB37+20</f>
        <v>95</v>
      </c>
      <c r="CD37" s="75">
        <f t="shared" si="66"/>
        <v>20</v>
      </c>
      <c r="CE37" s="75">
        <f>(CB37)+20-(((CB37)+20)*($DD$27-($DM$29+30))/20)</f>
        <v>125</v>
      </c>
      <c r="CF37" s="75">
        <f>IF($DT$29="Maintenance",CD37,IF($DT$29="Drawdown", CE37, IF($DT$29="No more K",0,CC37)))</f>
        <v>95</v>
      </c>
      <c r="CG37" s="118">
        <f t="shared" si="29"/>
        <v>0</v>
      </c>
      <c r="CH37" s="104">
        <f t="shared" si="41"/>
        <v>0</v>
      </c>
      <c r="CI37" s="115"/>
      <c r="CJ37" s="115"/>
      <c r="CK37" s="120"/>
      <c r="CL37" s="77">
        <f t="shared" si="30"/>
        <v>0</v>
      </c>
      <c r="CM37" s="122">
        <f t="shared" si="31"/>
        <v>0</v>
      </c>
      <c r="CN37" s="1"/>
      <c r="CO37" s="129"/>
      <c r="CP37" s="577"/>
      <c r="CQ37" s="577"/>
      <c r="CR37" s="577"/>
      <c r="CS37" s="64"/>
      <c r="CT37" s="145"/>
      <c r="CU37" s="145"/>
      <c r="CV37" s="146"/>
      <c r="CW37" s="146"/>
      <c r="CX37" s="130"/>
      <c r="DB37" s="346"/>
    </row>
    <row r="38" spans="1:119" ht="25.15" customHeight="1" thickBot="1" x14ac:dyDescent="0.3">
      <c r="A38" s="129"/>
      <c r="B38" s="700" t="s">
        <v>213</v>
      </c>
      <c r="C38" s="701"/>
      <c r="D38" s="701"/>
      <c r="E38" s="702"/>
      <c r="F38" s="443"/>
      <c r="G38" s="405"/>
      <c r="H38" s="405"/>
      <c r="I38" s="405"/>
      <c r="J38" s="457"/>
      <c r="K38" s="1"/>
      <c r="L38" s="95"/>
      <c r="M38" s="67">
        <f>57*F38</f>
        <v>0</v>
      </c>
      <c r="N38" s="68">
        <f>IF(M38&gt;150,150,M38)</f>
        <v>0</v>
      </c>
      <c r="O38" s="74">
        <f t="shared" si="2"/>
        <v>0</v>
      </c>
      <c r="P38" s="184">
        <v>0</v>
      </c>
      <c r="Q38" s="75">
        <f>13.3*F38</f>
        <v>0</v>
      </c>
      <c r="R38" s="186">
        <f>($DM$28-$DC$27)*5+Q38</f>
        <v>125</v>
      </c>
      <c r="S38" s="118">
        <f t="shared" si="50"/>
        <v>0</v>
      </c>
      <c r="T38" s="185">
        <f>Q38-(Q38*($DC$27-($DM$28+15))/10)</f>
        <v>0</v>
      </c>
      <c r="U38" s="188">
        <f>IF($DT$28="Maintenance",S38,IF($DT$28="Drawdown", T38, IF($DT$28="No more P",0,R38)))</f>
        <v>125</v>
      </c>
      <c r="V38" s="118">
        <f t="shared" si="7"/>
        <v>0</v>
      </c>
      <c r="W38" s="104">
        <f t="shared" si="32"/>
        <v>0</v>
      </c>
      <c r="X38" s="92">
        <f>60*F38</f>
        <v>0</v>
      </c>
      <c r="Y38" s="75">
        <f t="shared" si="8"/>
        <v>95</v>
      </c>
      <c r="Z38" s="188">
        <f>((X38)+20)-(((X38)+20)*($DD$27-$DM$30)/50)</f>
        <v>50</v>
      </c>
      <c r="AA38" s="188">
        <f>((X38)+20)-(((X38)+20)*($DD$27-$DM$30)/50)</f>
        <v>50</v>
      </c>
      <c r="AB38" s="188">
        <f>IF($DT$30="Maintenance",Z38,IF($DT$30="Drawdown", AA38, IF($DT$30="No more K",0,Y38)))</f>
        <v>95</v>
      </c>
      <c r="AC38" s="118">
        <f>IF(F38=0,0,IF(AB38&gt;300,300,AB38))</f>
        <v>0</v>
      </c>
      <c r="AD38" s="104">
        <f>IF(AC38&lt;1,0,AC38)</f>
        <v>0</v>
      </c>
      <c r="AE38" s="75">
        <f>13.3*G38</f>
        <v>0</v>
      </c>
      <c r="AF38" s="186">
        <f>($DM$28-$DC$27)*5+AE38</f>
        <v>125</v>
      </c>
      <c r="AG38" s="118">
        <f t="shared" si="55"/>
        <v>0</v>
      </c>
      <c r="AH38" s="185">
        <f>AE38-(AE38*($DC$27-($DM$28+15))/10)</f>
        <v>0</v>
      </c>
      <c r="AI38" s="188">
        <f>IF($DT$28="Maintenance",AG38,IF($DT$28="Drawdown", AH38, IF($DT$28="No more P",0,AF38)))</f>
        <v>125</v>
      </c>
      <c r="AJ38" s="118">
        <f t="shared" si="13"/>
        <v>0</v>
      </c>
      <c r="AK38" s="104">
        <f t="shared" si="34"/>
        <v>0</v>
      </c>
      <c r="AL38" s="92">
        <f>60*G38</f>
        <v>0</v>
      </c>
      <c r="AM38" s="75">
        <f>(($DM$29-$DD$27)*(1+(0.05*$DB$27)))+AL38+20</f>
        <v>95</v>
      </c>
      <c r="AN38" s="188">
        <f>((AL38)+20)-(((AL38)+20)*($DD$27-$DM$30)/50)</f>
        <v>50</v>
      </c>
      <c r="AO38" s="188">
        <f>((AL38)+20)-(((AL38)+20)*($DD$27-$DM$30)/50)</f>
        <v>50</v>
      </c>
      <c r="AP38" s="188">
        <f>IF($DT$30="Maintenance",AN38,IF($DT$30="Drawdown", AO38, IF($DT$30="No more K",0,AM38)))</f>
        <v>95</v>
      </c>
      <c r="AQ38" s="118">
        <f>IF(G38=0,0,IF(AP38&gt;300,300,AP38))</f>
        <v>0</v>
      </c>
      <c r="AR38" s="104">
        <f>IF(AQ38&lt;1,0,AQ38)</f>
        <v>0</v>
      </c>
      <c r="AS38" s="75">
        <f>13.3*H38</f>
        <v>0</v>
      </c>
      <c r="AT38" s="186">
        <f>($DM$28-$DC$27)*5+AS38</f>
        <v>125</v>
      </c>
      <c r="AU38" s="118">
        <f t="shared" si="56"/>
        <v>0</v>
      </c>
      <c r="AV38" s="185">
        <f>AS38-(AS38*($DC$27-($DM$28+15))/10)</f>
        <v>0</v>
      </c>
      <c r="AW38" s="188">
        <f>IF($DT$28="Maintenance",AU38,IF($DT$28="Drawdown", AV38, IF($DT$28="No more P",0,AT38)))</f>
        <v>125</v>
      </c>
      <c r="AX38" s="118">
        <f t="shared" si="18"/>
        <v>0</v>
      </c>
      <c r="AY38" s="104">
        <f t="shared" si="36"/>
        <v>0</v>
      </c>
      <c r="AZ38" s="92">
        <f>60*H38</f>
        <v>0</v>
      </c>
      <c r="BA38" s="75">
        <f>(($DM$29-$DD$27)*(1+(0.05*$DB$27)))+AZ38+20</f>
        <v>95</v>
      </c>
      <c r="BB38" s="188">
        <f>((AZ38)+20)-(((AZ38)+20)*($DD$27-$DM$30)/50)</f>
        <v>50</v>
      </c>
      <c r="BC38" s="188">
        <f>((AZ38)+20)-(((AZ38)+20)*($DD$27-$DM$30)/50)</f>
        <v>50</v>
      </c>
      <c r="BD38" s="188">
        <f>IF($DT$30="Maintenance",BB38,IF($DT$30="Drawdown", BC38, IF($DT$30="No more K",0,BA38)))</f>
        <v>95</v>
      </c>
      <c r="BE38" s="118">
        <f>IF(H38=0,0,IF(BD38&gt;300,300,BD38))</f>
        <v>0</v>
      </c>
      <c r="BF38" s="104">
        <f>IF(BE38&lt;1,0,BE38)</f>
        <v>0</v>
      </c>
      <c r="BG38" s="75">
        <f>13.3*I38</f>
        <v>0</v>
      </c>
      <c r="BH38" s="186">
        <f>($DM$28-$DC$27)*5+BG38</f>
        <v>125</v>
      </c>
      <c r="BI38" s="118">
        <f t="shared" si="57"/>
        <v>0</v>
      </c>
      <c r="BJ38" s="185">
        <f>BG38-(BG38*($DC$27-($DM$28+15))/10)</f>
        <v>0</v>
      </c>
      <c r="BK38" s="188">
        <f>IF($DT$28="Maintenance",BI38,IF($DT$28="Drawdown", BJ38, IF($DT$28="No more P",0,BH38)))</f>
        <v>125</v>
      </c>
      <c r="BL38" s="118">
        <f t="shared" si="23"/>
        <v>0</v>
      </c>
      <c r="BM38" s="104">
        <f t="shared" si="38"/>
        <v>0</v>
      </c>
      <c r="BN38" s="92">
        <f>60*I38</f>
        <v>0</v>
      </c>
      <c r="BO38" s="75">
        <f>(($DM$29-$DD$27)*(1+(0.05*$DB$27)))+BN38+20</f>
        <v>95</v>
      </c>
      <c r="BP38" s="188">
        <f>((BN38)+20)-(((BN38)+20)*($DD$27-$DM$30)/50)</f>
        <v>50</v>
      </c>
      <c r="BQ38" s="188">
        <f>((BN38)+20)-(((BN38)+20)*($DD$27-$DM$30)/50)</f>
        <v>50</v>
      </c>
      <c r="BR38" s="188">
        <f>IF($DT$30="Maintenance",BP38,IF($DT$30="Drawdown", BQ38, IF($DT$30="No more K",0,BO38)))</f>
        <v>95</v>
      </c>
      <c r="BS38" s="118">
        <f>IF(I38=0,0,IF(BR38&gt;300,300,BR38))</f>
        <v>0</v>
      </c>
      <c r="BT38" s="104">
        <f>IF(BS38&lt;1,0,BS38)</f>
        <v>0</v>
      </c>
      <c r="BU38" s="75">
        <f>13.3*J38</f>
        <v>0</v>
      </c>
      <c r="BV38" s="186">
        <f>($DM$28-$DC$27)*5+BU38</f>
        <v>125</v>
      </c>
      <c r="BW38" s="118">
        <f t="shared" si="58"/>
        <v>0</v>
      </c>
      <c r="BX38" s="185">
        <f>BU38-(BU38*($DC$27-($DM$28+15))/10)</f>
        <v>0</v>
      </c>
      <c r="BY38" s="188">
        <f>IF($DT$28="Maintenance",BW38,IF($DT$28="Drawdown", BX38, IF($DT$28="No more P",0,BV38)))</f>
        <v>125</v>
      </c>
      <c r="BZ38" s="118">
        <f t="shared" si="28"/>
        <v>0</v>
      </c>
      <c r="CA38" s="104">
        <f t="shared" si="40"/>
        <v>0</v>
      </c>
      <c r="CB38" s="92">
        <f>60*J38</f>
        <v>0</v>
      </c>
      <c r="CC38" s="75">
        <f>(($DM$29-$DD$27)*(1+(0.05*$DB$27)))+CB38+20</f>
        <v>95</v>
      </c>
      <c r="CD38" s="188">
        <f>((CB38)+20)-(((CB38)+20)*($DD$27-$DM$30)/50)</f>
        <v>50</v>
      </c>
      <c r="CE38" s="188">
        <f>((CB38)+20)-(((CB38)+20)*($DD$27-$DM$30)/50)</f>
        <v>50</v>
      </c>
      <c r="CF38" s="188">
        <f>IF($DT$30="Maintenance",CD38,IF($DT$30="Drawdown", CE38, IF($DT$30="No more K",0,CC38)))</f>
        <v>95</v>
      </c>
      <c r="CG38" s="118">
        <f>IF(J38=0,0,IF(CF38&gt;300,300,CF38))</f>
        <v>0</v>
      </c>
      <c r="CH38" s="104">
        <f>IF(CG38&lt;1,0,CG38)</f>
        <v>0</v>
      </c>
      <c r="CI38" s="115"/>
      <c r="CJ38" s="600" t="s">
        <v>136</v>
      </c>
      <c r="CK38" s="601"/>
      <c r="CL38" s="77">
        <f t="shared" si="30"/>
        <v>0</v>
      </c>
      <c r="CM38" s="122">
        <f t="shared" si="31"/>
        <v>0</v>
      </c>
      <c r="CN38" s="1"/>
      <c r="CO38" s="129"/>
      <c r="CP38" s="578"/>
      <c r="CQ38" s="578"/>
      <c r="CR38" s="578"/>
      <c r="CS38" s="64"/>
      <c r="CT38" s="145"/>
      <c r="CU38" s="145"/>
      <c r="CV38" s="146"/>
      <c r="CW38" s="146"/>
      <c r="CX38" s="130"/>
      <c r="DB38" s="346"/>
    </row>
    <row r="39" spans="1:119" ht="31.15" customHeight="1" thickBot="1" x14ac:dyDescent="0.35">
      <c r="A39" s="129"/>
      <c r="B39" s="705" t="s">
        <v>214</v>
      </c>
      <c r="C39" s="706"/>
      <c r="D39" s="706"/>
      <c r="E39" s="707"/>
      <c r="F39" s="458"/>
      <c r="G39" s="459"/>
      <c r="H39" s="459"/>
      <c r="I39" s="459"/>
      <c r="J39" s="460"/>
      <c r="K39" s="128"/>
      <c r="L39" s="95"/>
      <c r="M39" s="198">
        <f>IF(F39&lt;4,100,(100+20*(F39-4)))</f>
        <v>100</v>
      </c>
      <c r="N39" s="197">
        <f>IF(M39&gt;180,180, M39)</f>
        <v>100</v>
      </c>
      <c r="O39" s="196">
        <f>IF(F39&lt;1,0,N39)</f>
        <v>0</v>
      </c>
      <c r="P39" s="321">
        <f>O39</f>
        <v>0</v>
      </c>
      <c r="Q39" s="195">
        <f>13*F39</f>
        <v>0</v>
      </c>
      <c r="R39" s="187">
        <f>($DM$28-$DC$27)*5+Q39</f>
        <v>125</v>
      </c>
      <c r="S39" s="91">
        <f t="shared" si="50"/>
        <v>0</v>
      </c>
      <c r="T39" s="185">
        <f>Q39-(Q39*($DC$27-($DM$28+15))/10)</f>
        <v>0</v>
      </c>
      <c r="U39" s="188">
        <f>IF($DT$28="Maintenance",S39,IF($DT$28="Drawdown", T39, IF($DT$28="No more P",0,R39)))</f>
        <v>125</v>
      </c>
      <c r="V39" s="91">
        <f t="shared" si="7"/>
        <v>0</v>
      </c>
      <c r="W39" s="104">
        <f t="shared" si="32"/>
        <v>0</v>
      </c>
      <c r="X39" s="97">
        <f>50*F39</f>
        <v>0</v>
      </c>
      <c r="Y39" s="75">
        <f t="shared" si="8"/>
        <v>95</v>
      </c>
      <c r="Z39" s="188">
        <f>((X39)+20)-(((X39)+20)*($DD$27-$DM$30)/50)</f>
        <v>50</v>
      </c>
      <c r="AA39" s="188">
        <f>((X39)+20)-(((X39)+20)*($DD$27-$DM$30)/50)</f>
        <v>50</v>
      </c>
      <c r="AB39" s="188">
        <f>IF($DT$30="Maintenance",Z39,IF($DT$30="Drawdown", AA39, IF($DT$30="No more K",0,Y39)))</f>
        <v>95</v>
      </c>
      <c r="AC39" s="118">
        <f>IF(F39=0,0,IF(AB39&gt;300,300,AB39))</f>
        <v>0</v>
      </c>
      <c r="AD39" s="104">
        <f>IF(AC39&lt;1,0,AC39)</f>
        <v>0</v>
      </c>
      <c r="AE39" s="168">
        <f>13*G39</f>
        <v>0</v>
      </c>
      <c r="AF39" s="187">
        <f>($DM$28-$DC$27)*5+AE39</f>
        <v>125</v>
      </c>
      <c r="AG39" s="101">
        <f t="shared" si="55"/>
        <v>0</v>
      </c>
      <c r="AH39" s="185">
        <f>AE39-(AE39*($DC$27-($DM$28+15))/10)</f>
        <v>0</v>
      </c>
      <c r="AI39" s="188">
        <f>IF($DT$28="Maintenance",AG39,IF($DT$28="Drawdown", AH39, IF($DT$28="No more P",0,AF39)))</f>
        <v>125</v>
      </c>
      <c r="AJ39" s="118">
        <f t="shared" si="13"/>
        <v>0</v>
      </c>
      <c r="AK39" s="104">
        <f t="shared" si="34"/>
        <v>0</v>
      </c>
      <c r="AL39" s="97">
        <f>50*G39</f>
        <v>0</v>
      </c>
      <c r="AM39" s="75">
        <f>(($DM$29-$DD$27)*(1+(0.05*$DB$27)))+AL39+20</f>
        <v>95</v>
      </c>
      <c r="AN39" s="188">
        <f>((AL39)+20)-(((AL39)+20)*($DD$27-$DM$30)/50)</f>
        <v>50</v>
      </c>
      <c r="AO39" s="188">
        <f>((AL39)+20)-(((AL39)+20)*($DD$27-$DM$30)/50)</f>
        <v>50</v>
      </c>
      <c r="AP39" s="188">
        <f>IF($DT$30="Maintenance",AN39,IF($DT$30="Drawdown", AO39, IF($DT$30="No more K",0,AM39)))</f>
        <v>95</v>
      </c>
      <c r="AQ39" s="118">
        <f>IF(G39=0,0,IF(AP39&gt;300,300,AP39))</f>
        <v>0</v>
      </c>
      <c r="AR39" s="104">
        <f>IF(AQ39&lt;1,0,AQ39)</f>
        <v>0</v>
      </c>
      <c r="AS39" s="168">
        <f>13*H39</f>
        <v>0</v>
      </c>
      <c r="AT39" s="187">
        <f>($DM$28-$DC$27)*5+AS39</f>
        <v>125</v>
      </c>
      <c r="AU39" s="101">
        <f t="shared" si="56"/>
        <v>0</v>
      </c>
      <c r="AV39" s="185">
        <f>AS39-(AS39*($DC$27-($DM$28+15))/10)</f>
        <v>0</v>
      </c>
      <c r="AW39" s="188">
        <f>IF($DT$28="Maintenance",AU39,IF($DT$28="Drawdown", AV39, IF($DT$28="No more P",0,AT39)))</f>
        <v>125</v>
      </c>
      <c r="AX39" s="118">
        <f t="shared" si="18"/>
        <v>0</v>
      </c>
      <c r="AY39" s="104">
        <f t="shared" si="36"/>
        <v>0</v>
      </c>
      <c r="AZ39" s="97">
        <f>50*H39</f>
        <v>0</v>
      </c>
      <c r="BA39" s="75">
        <f>(($DM$29-$DD$27)*(1+(0.05*$DB$27)))+AZ39+20</f>
        <v>95</v>
      </c>
      <c r="BB39" s="188">
        <f>((AZ39)+20)-(((AZ39)+20)*($DD$27-$DM$30)/50)</f>
        <v>50</v>
      </c>
      <c r="BC39" s="188">
        <f>((AZ39)+20)-(((AZ39)+20)*($DD$27-$DM$30)/50)</f>
        <v>50</v>
      </c>
      <c r="BD39" s="188">
        <f>IF($DT$30="Maintenance",BB39,IF($DT$30="Drawdown", BC39, IF($DT$30="No more K",0,BA39)))</f>
        <v>95</v>
      </c>
      <c r="BE39" s="118">
        <f>IF(H39=0,0,IF(BD39&gt;300,300,BD39))</f>
        <v>0</v>
      </c>
      <c r="BF39" s="104">
        <f>IF(BE39&lt;1,0,BE39)</f>
        <v>0</v>
      </c>
      <c r="BG39" s="168">
        <f>13*I39</f>
        <v>0</v>
      </c>
      <c r="BH39" s="187">
        <f>($DM$28-$DC$27)*5+BG39</f>
        <v>125</v>
      </c>
      <c r="BI39" s="101">
        <f t="shared" si="57"/>
        <v>0</v>
      </c>
      <c r="BJ39" s="185">
        <f>BG39-(BG39*($DC$27-($DM$28+15))/10)</f>
        <v>0</v>
      </c>
      <c r="BK39" s="188">
        <f>IF($DT$28="Maintenance",BI39,IF($DT$28="Drawdown", BJ39, IF($DT$28="No more P",0,BH39)))</f>
        <v>125</v>
      </c>
      <c r="BL39" s="118">
        <f t="shared" si="23"/>
        <v>0</v>
      </c>
      <c r="BM39" s="104">
        <f t="shared" si="38"/>
        <v>0</v>
      </c>
      <c r="BN39" s="192">
        <f>50*I39</f>
        <v>0</v>
      </c>
      <c r="BO39" s="75">
        <f>(($DM$29-$DD$27)*(1+(0.05*$DB$27)))+BN39+20</f>
        <v>95</v>
      </c>
      <c r="BP39" s="188">
        <f>((BN39)+20)-(((BN39)+20)*($DD$27-$DM$30)/50)</f>
        <v>50</v>
      </c>
      <c r="BQ39" s="188">
        <f>((BN39)+20)-(((BN39)+20)*($DD$27-$DM$30)/50)</f>
        <v>50</v>
      </c>
      <c r="BR39" s="188">
        <f>IF($DT$30="Maintenance",BP39,IF($DT$30="Drawdown", BQ39, IF($DT$30="No more K",0,BO39)))</f>
        <v>95</v>
      </c>
      <c r="BS39" s="118">
        <f>IF(I39=0,0,IF(BR39&gt;300,300,BR39))</f>
        <v>0</v>
      </c>
      <c r="BT39" s="104">
        <f>IF(BS39&lt;1,0,BS39)</f>
        <v>0</v>
      </c>
      <c r="BU39" s="168">
        <f>13*J39</f>
        <v>0</v>
      </c>
      <c r="BV39" s="187">
        <f>($DM$28-$DC$27)*5+BU39</f>
        <v>125</v>
      </c>
      <c r="BW39" s="101">
        <f t="shared" si="58"/>
        <v>0</v>
      </c>
      <c r="BX39" s="185">
        <f>BU39-(BU39*($DC$27-($DM$28+15))/10)</f>
        <v>0</v>
      </c>
      <c r="BY39" s="188">
        <f>IF($DT$28="Maintenance",BW39,IF($DT$28="Drawdown", BX39, IF($DT$28="No more P",0,BV39)))</f>
        <v>125</v>
      </c>
      <c r="BZ39" s="118">
        <f t="shared" si="28"/>
        <v>0</v>
      </c>
      <c r="CA39" s="104">
        <f t="shared" si="40"/>
        <v>0</v>
      </c>
      <c r="CB39" s="97">
        <f>50*J39</f>
        <v>0</v>
      </c>
      <c r="CC39" s="75">
        <f>(($DM$29-$DD$27)*(1+(0.05*$DB$27)))+CB39+20</f>
        <v>95</v>
      </c>
      <c r="CD39" s="188">
        <f>((CB39)+20)-(((CB39)+20)*($DD$27-$DM$30)/50)</f>
        <v>50</v>
      </c>
      <c r="CE39" s="188">
        <f>((CB39)+20)-(((CB39)+20)*($DD$27-$DM$30)/50)</f>
        <v>50</v>
      </c>
      <c r="CF39" s="188">
        <f>IF($DT$30="Maintenance",CD39,IF($DT$30="Drawdown", CE39, IF($DT$30="No more K",0,CC39)))</f>
        <v>95</v>
      </c>
      <c r="CG39" s="118">
        <f>IF(J39=0,0,IF(CF39&gt;300,300,CF39))</f>
        <v>0</v>
      </c>
      <c r="CH39" s="104">
        <f>IF(CG39&lt;1,0,CG39)</f>
        <v>0</v>
      </c>
      <c r="CI39" s="115"/>
      <c r="CJ39" s="265" t="s">
        <v>50</v>
      </c>
      <c r="CK39" s="266" t="s">
        <v>51</v>
      </c>
      <c r="CL39" s="123">
        <f t="shared" si="30"/>
        <v>0</v>
      </c>
      <c r="CM39" s="194">
        <f t="shared" si="31"/>
        <v>0</v>
      </c>
      <c r="CN39" s="1"/>
      <c r="CO39" s="129"/>
      <c r="CP39" s="144">
        <f>IF(CT52&lt;0,0,IF(CT52&gt;500,500,CT52))</f>
        <v>0</v>
      </c>
      <c r="CQ39" s="570" t="s">
        <v>133</v>
      </c>
      <c r="CR39" s="571"/>
      <c r="CS39" s="3"/>
      <c r="CT39" s="318">
        <f>CP39/0.6</f>
        <v>0</v>
      </c>
      <c r="CU39" s="582" t="s">
        <v>232</v>
      </c>
      <c r="CV39" s="580"/>
      <c r="CW39" s="581"/>
      <c r="CX39" s="130"/>
      <c r="DB39" s="346"/>
    </row>
    <row r="40" spans="1:119" ht="34.5" customHeight="1" thickBot="1" x14ac:dyDescent="0.3">
      <c r="A40" s="129"/>
      <c r="B40" s="1"/>
      <c r="C40" s="439" t="s">
        <v>211</v>
      </c>
      <c r="D40" s="156"/>
      <c r="E40" s="661" t="str">
        <f>IF(N51=1, "Multi-Year", "Single Year")</f>
        <v>Single Year</v>
      </c>
      <c r="F40" s="662"/>
      <c r="G40" s="164"/>
      <c r="H40" s="164"/>
      <c r="I40" s="164"/>
      <c r="J40" s="164"/>
      <c r="K40" s="128"/>
      <c r="L40" s="48"/>
      <c r="M40" s="117"/>
      <c r="N40" s="117"/>
      <c r="O40" s="115"/>
      <c r="P40" s="115"/>
      <c r="Q40" s="115"/>
      <c r="R40" s="115"/>
      <c r="S40" s="117"/>
      <c r="T40" s="115"/>
      <c r="U40" s="115"/>
      <c r="V40" s="115"/>
      <c r="W40" s="115"/>
      <c r="X40" s="115"/>
      <c r="Y40" s="115"/>
      <c r="Z40" s="117"/>
      <c r="AA40" s="117"/>
      <c r="AB40" s="115"/>
      <c r="AC40" s="115"/>
      <c r="AD40" s="115"/>
      <c r="AE40" s="115"/>
      <c r="AF40" s="115"/>
      <c r="AG40" s="117"/>
      <c r="AH40" s="115"/>
      <c r="AI40" s="115"/>
      <c r="AJ40" s="115"/>
      <c r="AK40" s="115"/>
      <c r="AL40" s="115"/>
      <c r="AM40" s="115"/>
      <c r="AN40" s="117"/>
      <c r="AO40" s="117"/>
      <c r="AP40" s="115"/>
      <c r="AQ40" s="115"/>
      <c r="AR40" s="115"/>
      <c r="AS40" s="115"/>
      <c r="AT40" s="115"/>
      <c r="AU40" s="117"/>
      <c r="AV40" s="115"/>
      <c r="AW40" s="115"/>
      <c r="AX40" s="115"/>
      <c r="AY40" s="115"/>
      <c r="AZ40" s="115"/>
      <c r="BA40" s="115"/>
      <c r="BB40" s="117"/>
      <c r="BC40" s="117"/>
      <c r="BD40" s="115"/>
      <c r="BE40" s="115"/>
      <c r="BF40" s="115"/>
      <c r="BG40" s="115"/>
      <c r="BH40" s="115"/>
      <c r="BI40" s="117"/>
      <c r="BJ40" s="115"/>
      <c r="BK40" s="115"/>
      <c r="BL40" s="115"/>
      <c r="BM40" s="115"/>
      <c r="BN40" s="115"/>
      <c r="BO40" s="115"/>
      <c r="BP40" s="117"/>
      <c r="BQ40" s="117"/>
      <c r="BR40" s="115"/>
      <c r="BS40" s="115"/>
      <c r="BT40" s="115"/>
      <c r="BU40" s="115"/>
      <c r="BV40" s="115"/>
      <c r="BW40" s="117"/>
      <c r="BX40" s="115"/>
      <c r="BY40" s="115"/>
      <c r="BZ40" s="115"/>
      <c r="CA40" s="115"/>
      <c r="CB40" s="115"/>
      <c r="CC40" s="115"/>
      <c r="CD40" s="116"/>
      <c r="CE40" s="117"/>
      <c r="CF40" s="117"/>
      <c r="CG40" s="117"/>
      <c r="CH40" s="6"/>
      <c r="CI40" s="6"/>
      <c r="CJ40" s="6"/>
      <c r="CK40" s="6"/>
      <c r="CL40" s="350">
        <f>SUM(CL28:CL39)</f>
        <v>0</v>
      </c>
      <c r="CM40" s="350">
        <f>SUM(CM28:CM39)</f>
        <v>0</v>
      </c>
      <c r="CN40" s="1"/>
      <c r="CO40" s="111"/>
      <c r="CP40" s="573" t="str">
        <f>IF(J44&gt;500,"*Rec. is limited to 500 lbs K2O/ac/yr total. More K will be needed for later years of crop rotation."," ")</f>
        <v xml:space="preserve"> </v>
      </c>
      <c r="CQ40" s="574"/>
      <c r="CR40" s="574"/>
      <c r="CS40" s="574"/>
      <c r="CT40" s="574"/>
      <c r="CU40" s="574"/>
      <c r="CV40" s="574"/>
      <c r="CW40" s="574"/>
      <c r="CX40" s="143"/>
      <c r="DB40" s="346"/>
    </row>
    <row r="41" spans="1:119" ht="19.5" customHeight="1" x14ac:dyDescent="0.25">
      <c r="A41" s="129"/>
      <c r="B41" s="1"/>
      <c r="C41" s="703" t="s">
        <v>155</v>
      </c>
      <c r="E41" s="695" t="s">
        <v>156</v>
      </c>
      <c r="F41" s="696"/>
      <c r="G41" s="1"/>
      <c r="H41" s="686" t="s">
        <v>200</v>
      </c>
      <c r="I41" s="687"/>
      <c r="J41" s="688"/>
      <c r="K41" s="1"/>
      <c r="L41" s="48"/>
      <c r="M41" s="117"/>
      <c r="N41" s="117"/>
      <c r="O41" s="350">
        <f>SUM(O28:O39)</f>
        <v>0</v>
      </c>
      <c r="P41" s="350">
        <f>SUM(P28:P39)</f>
        <v>0</v>
      </c>
      <c r="Q41" s="350">
        <f>SUM(Q28:Q39)</f>
        <v>0</v>
      </c>
      <c r="R41" s="115"/>
      <c r="S41" s="117"/>
      <c r="T41" s="115"/>
      <c r="U41" s="115"/>
      <c r="V41" s="115"/>
      <c r="W41" s="350">
        <f>SUM(W28:W39)</f>
        <v>0</v>
      </c>
      <c r="X41" s="350">
        <f>SUM(X28:X39)</f>
        <v>0</v>
      </c>
      <c r="Y41" s="115"/>
      <c r="Z41" s="117"/>
      <c r="AA41" s="117"/>
      <c r="AB41" s="115"/>
      <c r="AC41" s="115"/>
      <c r="AD41" s="350">
        <f>SUM(AD28:AD39)</f>
        <v>0</v>
      </c>
      <c r="AE41" s="350">
        <f>SUM(AE28:AE39)</f>
        <v>0</v>
      </c>
      <c r="AF41" s="115"/>
      <c r="AG41" s="117"/>
      <c r="AH41" s="115"/>
      <c r="AI41" s="115"/>
      <c r="AJ41" s="115"/>
      <c r="AK41" s="115"/>
      <c r="AL41" s="350">
        <f>SUM(AL28:AL39)</f>
        <v>0</v>
      </c>
      <c r="AM41" s="119"/>
      <c r="AN41" s="116"/>
      <c r="AO41" s="116"/>
      <c r="AP41" s="119"/>
      <c r="AQ41" s="119"/>
      <c r="AR41" s="119"/>
      <c r="AS41" s="350">
        <f>SUM(AS28:AS39)</f>
        <v>0</v>
      </c>
      <c r="AT41" s="119"/>
      <c r="AU41" s="116"/>
      <c r="AV41" s="119"/>
      <c r="AW41" s="119"/>
      <c r="AX41" s="119"/>
      <c r="AY41" s="119"/>
      <c r="AZ41" s="350">
        <f>SUM(AZ28:AZ39)</f>
        <v>0</v>
      </c>
      <c r="BA41" s="119"/>
      <c r="BB41" s="116"/>
      <c r="BC41" s="116"/>
      <c r="BD41" s="119"/>
      <c r="BE41" s="119"/>
      <c r="BF41" s="119"/>
      <c r="BG41" s="350">
        <f>SUM(BG28:BG39)</f>
        <v>0</v>
      </c>
      <c r="BH41" s="115"/>
      <c r="BI41" s="117"/>
      <c r="BJ41" s="115"/>
      <c r="BK41" s="115"/>
      <c r="BL41" s="115"/>
      <c r="BM41" s="115"/>
      <c r="BN41" s="350">
        <f>SUM(BN28:BN39)</f>
        <v>0</v>
      </c>
      <c r="BO41" s="119"/>
      <c r="BP41" s="116"/>
      <c r="BQ41" s="116"/>
      <c r="BR41" s="119"/>
      <c r="BS41" s="119"/>
      <c r="BT41" s="119"/>
      <c r="BU41" s="350">
        <f>SUM(BU28:BU39)</f>
        <v>0</v>
      </c>
      <c r="BV41" s="119"/>
      <c r="BW41" s="116"/>
      <c r="BX41" s="119"/>
      <c r="BY41" s="119"/>
      <c r="BZ41" s="119"/>
      <c r="CA41" s="119"/>
      <c r="CB41" s="350">
        <f>SUM(CB28:CB39)</f>
        <v>0</v>
      </c>
      <c r="CC41" s="119"/>
      <c r="CD41" s="116"/>
      <c r="CE41" s="116"/>
      <c r="CF41" s="116"/>
      <c r="CG41" s="117"/>
      <c r="CH41" s="6"/>
      <c r="CI41" s="6"/>
      <c r="CJ41" s="351">
        <f>Q42+AE42+AS42+BG42+BU42</f>
        <v>0</v>
      </c>
      <c r="CK41" s="351">
        <f>X42+AL42+AZ42+BN42+CB42</f>
        <v>0</v>
      </c>
      <c r="CL41" s="351">
        <f>ROUND(CL40,0)</f>
        <v>0</v>
      </c>
      <c r="CM41" s="351">
        <f>ROUND(CM40,0)</f>
        <v>0</v>
      </c>
      <c r="CN41" s="1"/>
      <c r="CO41" s="1"/>
      <c r="CP41" s="683" t="s">
        <v>158</v>
      </c>
      <c r="CQ41" s="683"/>
      <c r="CR41" s="684"/>
      <c r="CS41" s="684"/>
      <c r="CT41" s="684"/>
      <c r="CU41" s="684"/>
      <c r="CV41" s="684"/>
      <c r="CW41" s="684"/>
      <c r="CX41" s="685"/>
      <c r="DB41" s="346"/>
    </row>
    <row r="42" spans="1:119" ht="43.5" customHeight="1" x14ac:dyDescent="0.2">
      <c r="A42" s="129"/>
      <c r="B42" s="1"/>
      <c r="C42" s="704"/>
      <c r="E42" s="697"/>
      <c r="F42" s="698"/>
      <c r="G42" s="1"/>
      <c r="H42" s="312" t="s">
        <v>186</v>
      </c>
      <c r="I42" s="677" t="s">
        <v>165</v>
      </c>
      <c r="J42" s="678"/>
      <c r="K42" s="1"/>
      <c r="L42" s="48"/>
      <c r="M42" s="34"/>
      <c r="N42" s="34"/>
      <c r="O42" s="351">
        <f>ROUND(O41,0)</f>
        <v>0</v>
      </c>
      <c r="P42" s="351">
        <f>ROUND(P41,0)</f>
        <v>0</v>
      </c>
      <c r="Q42" s="351">
        <f>ROUND(Q41,0)</f>
        <v>0</v>
      </c>
      <c r="R42" s="34"/>
      <c r="S42" s="34"/>
      <c r="T42" s="34"/>
      <c r="U42" s="34"/>
      <c r="V42" s="34"/>
      <c r="W42" s="34">
        <f>ROUND(W41,0)</f>
        <v>0</v>
      </c>
      <c r="X42" s="34">
        <f>ROUND(X41,0)</f>
        <v>0</v>
      </c>
      <c r="Y42" s="34"/>
      <c r="Z42" s="34"/>
      <c r="AA42" s="34"/>
      <c r="AB42" s="34"/>
      <c r="AC42" s="34"/>
      <c r="AD42" s="34">
        <f>ROUND(AD41,0)</f>
        <v>0</v>
      </c>
      <c r="AE42" s="34">
        <f>ROUND(AE41,0)</f>
        <v>0</v>
      </c>
      <c r="AF42" s="34"/>
      <c r="AG42" s="34"/>
      <c r="AH42" s="34"/>
      <c r="AI42" s="34"/>
      <c r="AJ42" s="34"/>
      <c r="AK42" s="34"/>
      <c r="AL42" s="34">
        <f>ROUND(AL41,0)</f>
        <v>0</v>
      </c>
      <c r="AM42" s="34"/>
      <c r="AN42" s="34"/>
      <c r="AO42" s="34"/>
      <c r="AP42" s="34"/>
      <c r="AQ42" s="34"/>
      <c r="AR42" s="34"/>
      <c r="AS42" s="34">
        <f>ROUND(AS41,0)</f>
        <v>0</v>
      </c>
      <c r="AT42" s="34"/>
      <c r="AU42" s="34"/>
      <c r="AV42" s="34"/>
      <c r="AW42" s="34"/>
      <c r="AX42" s="34"/>
      <c r="AY42" s="34"/>
      <c r="AZ42" s="34">
        <f>ROUND(AZ41,0)</f>
        <v>0</v>
      </c>
      <c r="BA42" s="34"/>
      <c r="BB42" s="34"/>
      <c r="BC42" s="34"/>
      <c r="BD42" s="34"/>
      <c r="BE42" s="34"/>
      <c r="BF42" s="34"/>
      <c r="BG42" s="34">
        <f>ROUND(BG41,0)</f>
        <v>0</v>
      </c>
      <c r="BH42" s="34"/>
      <c r="BI42" s="34"/>
      <c r="BJ42" s="34"/>
      <c r="BK42" s="34"/>
      <c r="BL42" s="34"/>
      <c r="BM42" s="34"/>
      <c r="BN42" s="34">
        <f>ROUND(BN41,0)</f>
        <v>0</v>
      </c>
      <c r="BO42" s="34"/>
      <c r="BP42" s="34"/>
      <c r="BQ42" s="34"/>
      <c r="BR42" s="34"/>
      <c r="BS42" s="34"/>
      <c r="BT42" s="34"/>
      <c r="BU42" s="34">
        <f>ROUND(BU41,0)</f>
        <v>0</v>
      </c>
      <c r="BV42" s="34"/>
      <c r="BW42" s="34"/>
      <c r="BX42" s="34"/>
      <c r="BY42" s="34"/>
      <c r="BZ42" s="37"/>
      <c r="CA42" s="34"/>
      <c r="CB42" s="34">
        <f>ROUND(CB41,0)</f>
        <v>0</v>
      </c>
      <c r="CC42" s="1"/>
      <c r="CD42" s="1"/>
      <c r="CE42" s="1"/>
      <c r="CF42" s="1"/>
      <c r="CG42" s="1"/>
      <c r="CH42" s="1"/>
      <c r="CI42" s="1"/>
      <c r="CJ42" s="1"/>
      <c r="CK42" s="1"/>
      <c r="CL42" s="1"/>
      <c r="CM42" s="1"/>
      <c r="CN42" s="1"/>
      <c r="CO42" s="1"/>
      <c r="CP42" s="643" t="s">
        <v>182</v>
      </c>
      <c r="CQ42" s="643"/>
      <c r="CR42" s="643"/>
      <c r="CS42" s="643"/>
      <c r="CT42" s="643"/>
      <c r="CU42" s="643"/>
      <c r="CV42" s="643"/>
      <c r="CW42" s="643"/>
      <c r="CX42" s="644"/>
      <c r="DB42" s="346"/>
    </row>
    <row r="43" spans="1:119" ht="21" customHeight="1" thickBot="1" x14ac:dyDescent="0.25">
      <c r="A43" s="129"/>
      <c r="B43" s="1"/>
      <c r="C43" s="294" t="s">
        <v>93</v>
      </c>
      <c r="E43" s="267" t="s">
        <v>93</v>
      </c>
      <c r="F43" s="269" t="s">
        <v>95</v>
      </c>
      <c r="G43" s="1"/>
      <c r="H43" s="314" t="s">
        <v>52</v>
      </c>
      <c r="I43" s="268" t="s">
        <v>93</v>
      </c>
      <c r="J43" s="313" t="s">
        <v>95</v>
      </c>
      <c r="K43" s="1"/>
      <c r="L43" s="44"/>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681"/>
      <c r="CQ43" s="681"/>
      <c r="CR43" s="681"/>
      <c r="CS43" s="681"/>
      <c r="CT43" s="681"/>
      <c r="CU43" s="681"/>
      <c r="CV43" s="681"/>
      <c r="CW43" s="681"/>
      <c r="CX43" s="682"/>
      <c r="DA43" s="42"/>
      <c r="DB43" s="346"/>
    </row>
    <row r="44" spans="1:119" ht="17.25" customHeight="1" thickBot="1" x14ac:dyDescent="0.25">
      <c r="A44" s="129"/>
      <c r="B44" s="1"/>
      <c r="C44" s="401">
        <f>Q42</f>
        <v>0</v>
      </c>
      <c r="E44" s="401">
        <f>CJ41</f>
        <v>0</v>
      </c>
      <c r="F44" s="401">
        <f>CK41</f>
        <v>0</v>
      </c>
      <c r="G44" s="1"/>
      <c r="H44" s="401">
        <f>P42</f>
        <v>0</v>
      </c>
      <c r="I44" s="401">
        <f>CL41</f>
        <v>0</v>
      </c>
      <c r="J44" s="402">
        <f>CM41</f>
        <v>0</v>
      </c>
      <c r="K44" s="1"/>
      <c r="L44" s="44"/>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352"/>
      <c r="CP44" s="568" t="s">
        <v>175</v>
      </c>
      <c r="CQ44" s="568"/>
      <c r="CR44" s="568"/>
      <c r="CS44" s="568"/>
      <c r="CT44" s="568"/>
      <c r="CU44" s="568"/>
      <c r="CV44" s="568"/>
      <c r="CW44" s="568"/>
      <c r="CX44" s="569"/>
      <c r="DA44" s="42"/>
      <c r="DB44" s="346"/>
      <c r="DC44" s="1"/>
      <c r="DD44" s="1"/>
    </row>
    <row r="45" spans="1:119" ht="9" customHeight="1" thickBot="1" x14ac:dyDescent="0.25">
      <c r="A45" s="129"/>
      <c r="B45" s="1"/>
      <c r="C45" s="95"/>
      <c r="D45" s="95"/>
      <c r="E45" s="95"/>
      <c r="F45" s="1"/>
      <c r="G45" s="95"/>
      <c r="H45" s="95"/>
      <c r="I45" s="1"/>
      <c r="J45" s="95"/>
      <c r="K45" s="95"/>
      <c r="L45" s="44"/>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377"/>
      <c r="CQ45" s="377"/>
      <c r="CR45" s="378"/>
      <c r="CS45" s="378"/>
      <c r="CT45" s="378"/>
      <c r="CU45" s="378"/>
      <c r="CV45" s="378"/>
      <c r="CW45" s="378"/>
      <c r="CX45" s="498"/>
      <c r="DA45" s="42"/>
      <c r="DB45" s="346"/>
      <c r="DC45" s="1"/>
      <c r="DD45" s="1"/>
    </row>
    <row r="46" spans="1:119" ht="5.25" hidden="1" customHeight="1" thickBot="1" x14ac:dyDescent="0.25">
      <c r="A46" s="129"/>
      <c r="B46" s="1"/>
      <c r="D46" s="19"/>
      <c r="E46" s="4"/>
      <c r="F46" s="4"/>
      <c r="G46" s="95"/>
      <c r="H46" s="1"/>
      <c r="I46" s="95"/>
      <c r="J46" s="95"/>
      <c r="K46" s="44"/>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378"/>
      <c r="CQ46" s="378"/>
      <c r="CR46" s="378"/>
      <c r="CS46" s="378"/>
      <c r="CT46" s="378"/>
      <c r="CU46" s="378"/>
      <c r="CV46" s="378"/>
      <c r="CW46" s="378"/>
      <c r="CX46" s="498"/>
      <c r="CZ46" s="42"/>
      <c r="DA46" s="1"/>
      <c r="DB46" s="346"/>
      <c r="DC46" s="1"/>
    </row>
    <row r="47" spans="1:119" ht="7.5" customHeight="1" thickBot="1" x14ac:dyDescent="0.25">
      <c r="A47" s="129"/>
      <c r="B47" s="1"/>
      <c r="C47" s="95"/>
      <c r="D47" s="396"/>
      <c r="E47" s="484"/>
      <c r="F47" s="427"/>
      <c r="G47" s="306"/>
      <c r="H47" s="1"/>
      <c r="I47" s="1"/>
      <c r="J47" s="1"/>
      <c r="K47" s="1"/>
      <c r="L47" s="34"/>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481"/>
      <c r="CQ47" s="481"/>
      <c r="CR47" s="721" t="s">
        <v>180</v>
      </c>
      <c r="CS47" s="727"/>
      <c r="CT47" s="728"/>
      <c r="CU47" s="481"/>
      <c r="CV47" s="481"/>
      <c r="CW47" s="481"/>
      <c r="CX47" s="499"/>
      <c r="DA47" s="42"/>
      <c r="DB47" s="346"/>
    </row>
    <row r="48" spans="1:119" ht="17.25" customHeight="1" thickBot="1" x14ac:dyDescent="0.3">
      <c r="A48" s="129"/>
      <c r="B48" s="110"/>
      <c r="C48" s="453" t="s">
        <v>224</v>
      </c>
      <c r="D48" s="735" t="e">
        <f>IF(ED12=TRUE,EH12,IF(ED14=TRUE,EH14, "  "))</f>
        <v>#DIV/0!</v>
      </c>
      <c r="E48" s="736"/>
      <c r="F48" s="737"/>
      <c r="G48" s="306"/>
      <c r="H48" s="1"/>
      <c r="I48" s="1"/>
      <c r="J48" s="1"/>
      <c r="K48" s="1"/>
      <c r="L48" s="34"/>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481"/>
      <c r="CQ48" s="481"/>
      <c r="CR48" s="729"/>
      <c r="CS48" s="730"/>
      <c r="CT48" s="731"/>
      <c r="CU48" s="481"/>
      <c r="CV48" s="481"/>
      <c r="CW48" s="481"/>
      <c r="CX48" s="499"/>
      <c r="DA48" s="42"/>
      <c r="DB48" s="346"/>
    </row>
    <row r="49" spans="1:137" ht="20.25" customHeight="1" thickBot="1" x14ac:dyDescent="0.25">
      <c r="A49" s="129"/>
      <c r="B49" s="111"/>
      <c r="C49" s="454" t="s">
        <v>225</v>
      </c>
      <c r="D49" s="738" t="e">
        <f>IF(D48=EH14,DU15, IF(D48=EH12,"Next Crop N or 150 lbs for legumes", "  "))</f>
        <v>#DIV/0!</v>
      </c>
      <c r="E49" s="739"/>
      <c r="F49" s="740"/>
      <c r="G49" s="306"/>
      <c r="H49" s="721" t="s">
        <v>173</v>
      </c>
      <c r="I49" s="722"/>
      <c r="J49" s="723"/>
      <c r="K49" s="1"/>
      <c r="L49" s="34"/>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481"/>
      <c r="CQ49" s="481"/>
      <c r="CR49" s="729"/>
      <c r="CS49" s="730"/>
      <c r="CT49" s="731"/>
      <c r="CU49" s="481"/>
      <c r="CV49" s="481"/>
      <c r="CW49" s="481"/>
      <c r="CX49" s="499"/>
      <c r="DA49" s="42"/>
      <c r="DB49" s="346"/>
    </row>
    <row r="50" spans="1:137" ht="15" customHeight="1" thickBot="1" x14ac:dyDescent="0.3">
      <c r="A50" s="129"/>
      <c r="B50" s="1"/>
      <c r="D50" s="384"/>
      <c r="F50" s="1"/>
      <c r="G50" s="95"/>
      <c r="H50" s="724"/>
      <c r="I50" s="725"/>
      <c r="J50" s="726"/>
      <c r="K50" s="1"/>
      <c r="L50" s="1"/>
      <c r="M50" s="390">
        <f>SUM(F28:F39)</f>
        <v>0</v>
      </c>
      <c r="N50" s="390">
        <f>SUM(G28:G39)</f>
        <v>0</v>
      </c>
      <c r="O50" s="390">
        <f>SUM(H28:H39)</f>
        <v>0</v>
      </c>
      <c r="P50" s="390">
        <f>SUM(I28:I39)</f>
        <v>0</v>
      </c>
      <c r="Q50" s="391">
        <f>SUM(J28:J39)</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53"/>
      <c r="CN50" s="1"/>
      <c r="CO50" s="1"/>
      <c r="CP50" s="1"/>
      <c r="CQ50" s="1"/>
      <c r="CR50" s="732"/>
      <c r="CS50" s="733"/>
      <c r="CT50" s="734"/>
      <c r="CU50" s="1"/>
      <c r="CV50" s="1"/>
      <c r="CW50" s="1"/>
      <c r="CX50" s="360"/>
      <c r="CY50" s="42"/>
      <c r="DB50" s="346"/>
      <c r="DX50" s="42"/>
      <c r="DY50" s="42"/>
    </row>
    <row r="51" spans="1:137" ht="23.25" customHeight="1" thickBot="1" x14ac:dyDescent="0.3">
      <c r="A51" s="129"/>
      <c r="B51" s="478"/>
      <c r="E51" s="388" t="str">
        <f xml:space="preserve"> IF($I$5=$DO$5,DS5,DS6)</f>
        <v>Manure Application Rate (gal/ac) =</v>
      </c>
      <c r="F51" s="421">
        <v>10000</v>
      </c>
      <c r="G51" s="95"/>
      <c r="H51" s="267" t="s">
        <v>157</v>
      </c>
      <c r="I51" s="268" t="s">
        <v>93</v>
      </c>
      <c r="J51" s="269" t="s">
        <v>94</v>
      </c>
      <c r="K51" s="1"/>
      <c r="L51" s="95"/>
      <c r="M51" s="392" t="b">
        <f>IF($M$50&gt;0,1,IF($N$50&gt;0,1,IF($O$50&gt;0,1,IF($P$50&gt;0,1,IF($Q$50&gt;0,1)))))</f>
        <v>0</v>
      </c>
      <c r="N51" s="392" t="b">
        <f>IF($N$50&gt;0,1,IF($O$50&gt;0,1,IF($P$50&gt;0,1,IF($Q$50&gt;0,1))))</f>
        <v>0</v>
      </c>
      <c r="O51" s="392" t="b">
        <f>IF($O$50&gt;0,1,IF($P$50&gt;0,1,IF($Q$50&gt;0,1)))</f>
        <v>0</v>
      </c>
      <c r="P51" s="392" t="b">
        <f>IF($P$50&gt;0,1,IF($Q$50&gt;0,1))</f>
        <v>0</v>
      </c>
      <c r="Q51" s="393" t="b">
        <f>IF($Q$50&gt;0,1)</f>
        <v>0</v>
      </c>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78"/>
      <c r="BK51" s="95"/>
      <c r="BL51" s="95"/>
      <c r="BM51" s="95"/>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46"/>
      <c r="CN51" s="1"/>
      <c r="CO51" s="1"/>
      <c r="CP51" s="1"/>
      <c r="CQ51" s="1"/>
      <c r="CR51" s="267" t="s">
        <v>162</v>
      </c>
      <c r="CS51" s="268" t="s">
        <v>93</v>
      </c>
      <c r="CT51" s="269" t="s">
        <v>94</v>
      </c>
      <c r="CU51" s="1"/>
      <c r="CV51" s="1"/>
      <c r="CW51" s="1"/>
      <c r="CX51" s="360"/>
      <c r="CY51" s="42"/>
      <c r="DB51" s="346"/>
      <c r="DX51" s="42"/>
      <c r="DY51" s="42"/>
      <c r="DZ51" s="42"/>
      <c r="EA51" s="42"/>
      <c r="EB51" s="42"/>
      <c r="EC51" s="42"/>
      <c r="ED51" s="42"/>
      <c r="EE51" s="42"/>
      <c r="EF51" s="42"/>
      <c r="EG51" s="42"/>
    </row>
    <row r="52" spans="1:137" ht="19.5" customHeight="1" thickBot="1" x14ac:dyDescent="0.3">
      <c r="A52" s="129"/>
      <c r="B52" s="1"/>
      <c r="C52" s="341"/>
      <c r="E52" s="132" t="str">
        <f xml:space="preserve"> IF($I$5=$DO$5,DS7,DS8)</f>
        <v>Total Applied to Field Unit (gal) =</v>
      </c>
      <c r="F52" s="406">
        <f>$F$51*$D$3</f>
        <v>0</v>
      </c>
      <c r="G52" s="95"/>
      <c r="H52" s="403">
        <f>IF(($I$5=$DO$5),(CQ4*$F$51/1000),(CQ4*$F$51))</f>
        <v>0</v>
      </c>
      <c r="I52" s="403">
        <f>IF(($I$5=$DO$5),(CU4*$F$51/1000),(CU4*$F$51))</f>
        <v>0</v>
      </c>
      <c r="J52" s="402">
        <f>IF(($I$5=$DO$5),(CV4*$F$51/1000),(CV4*$F$51))</f>
        <v>0</v>
      </c>
      <c r="K52" s="1"/>
      <c r="L52" s="34"/>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78"/>
      <c r="BK52" s="95"/>
      <c r="BL52" s="95"/>
      <c r="BM52" s="95"/>
      <c r="BN52" s="1"/>
      <c r="BO52" s="1"/>
      <c r="BP52" s="1"/>
      <c r="BQ52" s="1"/>
      <c r="BR52" s="1"/>
      <c r="BS52" s="1"/>
      <c r="BT52" s="1"/>
      <c r="BU52" s="1"/>
      <c r="BV52" s="1"/>
      <c r="BW52" s="1"/>
      <c r="BX52" s="1"/>
      <c r="BY52" s="1"/>
      <c r="BZ52" s="1"/>
      <c r="CA52" s="1"/>
      <c r="CB52" s="1"/>
      <c r="CC52" s="1"/>
      <c r="CD52" s="1"/>
      <c r="CE52" s="1"/>
      <c r="CF52" s="1"/>
      <c r="CG52" s="1"/>
      <c r="CH52" s="1"/>
      <c r="CI52" s="1"/>
      <c r="CJ52" s="1"/>
      <c r="CK52" s="44"/>
      <c r="CL52" s="1"/>
      <c r="CM52" s="47"/>
      <c r="CN52" s="1"/>
      <c r="CO52" s="1"/>
      <c r="CP52" s="1"/>
      <c r="CQ52" s="1"/>
      <c r="CR52" s="403">
        <f>IF((H44-H52)&lt;0,(0),(H44-H52))</f>
        <v>0</v>
      </c>
      <c r="CS52" s="404">
        <f>IF(I52&gt;250,0,IF((I44&gt;250), (250-I52), IF((I44-I52)&lt;0, 0, (I44-I52))))</f>
        <v>0</v>
      </c>
      <c r="CT52" s="402">
        <f>IF(J52&gt;500,0,IF((J44&gt;500), (500-J52), IF((J44-J52)&lt;0, 0, (J44-J52))))</f>
        <v>0</v>
      </c>
      <c r="CU52" s="1"/>
      <c r="CV52" s="1"/>
      <c r="CW52" s="1"/>
      <c r="CX52" s="360"/>
      <c r="DB52" s="346"/>
      <c r="DF52" s="42"/>
      <c r="DK52" s="42"/>
      <c r="DL52" s="42"/>
      <c r="DM52" s="42"/>
      <c r="DN52" s="42"/>
      <c r="DO52" s="42"/>
      <c r="DP52" s="42"/>
      <c r="DQ52" s="42"/>
      <c r="DR52" s="42"/>
      <c r="DS52" s="42"/>
      <c r="DT52" s="42"/>
      <c r="DU52" s="42"/>
      <c r="DV52" s="42"/>
      <c r="DW52" s="42"/>
      <c r="DZ52" s="42"/>
      <c r="EA52" s="42"/>
      <c r="EB52" s="42"/>
      <c r="EC52" s="42"/>
      <c r="ED52" s="42"/>
      <c r="EE52" s="42"/>
      <c r="EF52" s="42"/>
      <c r="EG52" s="42"/>
    </row>
    <row r="53" spans="1:137" ht="7.5" customHeight="1" x14ac:dyDescent="0.25">
      <c r="A53" s="129"/>
      <c r="B53" s="1"/>
      <c r="C53" s="341"/>
      <c r="E53" s="132"/>
      <c r="F53" s="447"/>
      <c r="G53" s="95"/>
      <c r="H53" s="95"/>
      <c r="I53" s="95"/>
      <c r="J53" s="95"/>
      <c r="K53" s="1"/>
      <c r="L53" s="34"/>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78"/>
      <c r="BK53" s="95"/>
      <c r="BL53" s="95"/>
      <c r="BM53" s="95"/>
      <c r="BN53" s="1"/>
      <c r="BO53" s="1"/>
      <c r="BP53" s="1"/>
      <c r="BQ53" s="1"/>
      <c r="BR53" s="1"/>
      <c r="BS53" s="1"/>
      <c r="BT53" s="1"/>
      <c r="BU53" s="1"/>
      <c r="BV53" s="1"/>
      <c r="BW53" s="1"/>
      <c r="BX53" s="1"/>
      <c r="BY53" s="1"/>
      <c r="BZ53" s="1"/>
      <c r="CA53" s="1"/>
      <c r="CB53" s="1"/>
      <c r="CC53" s="1"/>
      <c r="CD53" s="1"/>
      <c r="CE53" s="1"/>
      <c r="CF53" s="1"/>
      <c r="CG53" s="1"/>
      <c r="CH53" s="1"/>
      <c r="CI53" s="1"/>
      <c r="CJ53" s="1"/>
      <c r="CK53" s="44"/>
      <c r="CL53" s="1"/>
      <c r="CM53" s="47"/>
      <c r="CN53" s="1"/>
      <c r="CO53" s="1"/>
      <c r="CP53" s="1"/>
      <c r="CQ53" s="1"/>
      <c r="CR53" s="95"/>
      <c r="CS53" s="95"/>
      <c r="CT53" s="95"/>
      <c r="CU53" s="1"/>
      <c r="CV53" s="1"/>
      <c r="CW53" s="1"/>
      <c r="CX53" s="360"/>
      <c r="DB53" s="346"/>
      <c r="DF53" s="42"/>
      <c r="DK53" s="42"/>
      <c r="DL53" s="42"/>
      <c r="DM53" s="42"/>
      <c r="DN53" s="42"/>
      <c r="DO53" s="42"/>
      <c r="DP53" s="42"/>
      <c r="DQ53" s="42"/>
      <c r="DR53" s="42"/>
      <c r="DS53" s="42"/>
      <c r="DT53" s="42"/>
      <c r="DU53" s="42"/>
      <c r="DV53" s="42"/>
      <c r="DW53" s="42"/>
      <c r="DZ53" s="42"/>
      <c r="EA53" s="42"/>
      <c r="EB53" s="42"/>
      <c r="EC53" s="42"/>
      <c r="ED53" s="42"/>
      <c r="EE53" s="42"/>
      <c r="EF53" s="42"/>
      <c r="EG53" s="42"/>
    </row>
    <row r="54" spans="1:137" ht="6.75" hidden="1" customHeight="1" x14ac:dyDescent="0.25">
      <c r="A54" s="129"/>
      <c r="B54" s="1"/>
      <c r="C54" s="341"/>
      <c r="E54" s="132"/>
      <c r="F54" s="394"/>
      <c r="G54" s="95"/>
      <c r="H54" s="1"/>
      <c r="I54" s="395"/>
      <c r="J54" s="397"/>
      <c r="K54" s="1"/>
      <c r="L54" s="34"/>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78"/>
      <c r="BK54" s="95"/>
      <c r="BL54" s="95"/>
      <c r="BM54" s="95"/>
      <c r="BN54" s="1"/>
      <c r="BO54" s="1"/>
      <c r="BP54" s="1"/>
      <c r="BQ54" s="1"/>
      <c r="BR54" s="1"/>
      <c r="BS54" s="1"/>
      <c r="BT54" s="1"/>
      <c r="BU54" s="1"/>
      <c r="BV54" s="1"/>
      <c r="BW54" s="1"/>
      <c r="BX54" s="1"/>
      <c r="BY54" s="1"/>
      <c r="BZ54" s="1"/>
      <c r="CA54" s="1"/>
      <c r="CB54" s="1"/>
      <c r="CC54" s="1"/>
      <c r="CD54" s="1"/>
      <c r="CE54" s="1"/>
      <c r="CF54" s="1"/>
      <c r="CG54" s="1"/>
      <c r="CH54" s="1"/>
      <c r="CI54" s="1"/>
      <c r="CJ54" s="1"/>
      <c r="CK54" s="44"/>
      <c r="CL54" s="1"/>
      <c r="CM54" s="47"/>
      <c r="CN54" s="1"/>
      <c r="CO54" s="1"/>
      <c r="CP54" s="1"/>
      <c r="CQ54" s="1"/>
      <c r="CR54" s="95"/>
      <c r="CS54" s="95"/>
      <c r="CT54" s="95"/>
      <c r="CU54" s="1"/>
      <c r="CV54" s="1"/>
      <c r="CW54" s="1"/>
      <c r="CX54" s="360"/>
      <c r="DB54" s="346"/>
      <c r="DF54" s="42"/>
      <c r="DK54" s="42"/>
      <c r="DL54" s="42"/>
      <c r="DM54" s="42"/>
      <c r="DN54" s="42"/>
      <c r="DO54" s="42"/>
      <c r="DP54" s="42"/>
      <c r="DQ54" s="42"/>
      <c r="DR54" s="42"/>
      <c r="DS54" s="42"/>
      <c r="DT54" s="42"/>
      <c r="DU54" s="42"/>
      <c r="DV54" s="42"/>
      <c r="DW54" s="42"/>
      <c r="DZ54" s="42"/>
      <c r="EA54" s="42"/>
      <c r="EB54" s="42"/>
      <c r="EC54" s="42"/>
      <c r="ED54" s="42"/>
      <c r="EE54" s="42"/>
      <c r="EF54" s="42"/>
      <c r="EG54" s="42"/>
    </row>
    <row r="55" spans="1:137" ht="10.5" hidden="1" customHeight="1" x14ac:dyDescent="0.25">
      <c r="A55" s="129"/>
      <c r="B55" s="1"/>
      <c r="C55" s="341"/>
      <c r="E55" s="132"/>
      <c r="F55" s="394"/>
      <c r="G55" s="1"/>
      <c r="H55" s="1"/>
      <c r="I55" s="1"/>
      <c r="J55" s="397"/>
      <c r="K55" s="1"/>
      <c r="L55" s="34"/>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78"/>
      <c r="BK55" s="95"/>
      <c r="BL55" s="95"/>
      <c r="BM55" s="95"/>
      <c r="BN55" s="1"/>
      <c r="BO55" s="1"/>
      <c r="BP55" s="1"/>
      <c r="BQ55" s="1"/>
      <c r="BR55" s="1"/>
      <c r="BS55" s="1"/>
      <c r="BT55" s="1"/>
      <c r="BU55" s="1"/>
      <c r="BV55" s="1"/>
      <c r="BW55" s="1"/>
      <c r="BX55" s="1"/>
      <c r="BY55" s="1"/>
      <c r="BZ55" s="1"/>
      <c r="CA55" s="1"/>
      <c r="CB55" s="1"/>
      <c r="CC55" s="1"/>
      <c r="CD55" s="1"/>
      <c r="CE55" s="1"/>
      <c r="CF55" s="1"/>
      <c r="CG55" s="1"/>
      <c r="CH55" s="1"/>
      <c r="CI55" s="1"/>
      <c r="CJ55" s="1"/>
      <c r="CK55" s="44"/>
      <c r="CL55" s="1"/>
      <c r="CM55" s="47"/>
      <c r="CN55" s="1"/>
      <c r="CO55" s="1"/>
      <c r="CP55" s="1"/>
      <c r="CQ55" s="1"/>
      <c r="CR55" s="95"/>
      <c r="CS55" s="95"/>
      <c r="CT55" s="95"/>
      <c r="CU55" s="1"/>
      <c r="CV55" s="1"/>
      <c r="CW55" s="1"/>
      <c r="CX55" s="360"/>
      <c r="DB55" s="346"/>
      <c r="DF55" s="42"/>
      <c r="DK55" s="42"/>
      <c r="DL55" s="42"/>
      <c r="DM55" s="42"/>
      <c r="DN55" s="42"/>
      <c r="DO55" s="42"/>
      <c r="DP55" s="42"/>
      <c r="DQ55" s="42"/>
      <c r="DR55" s="42"/>
      <c r="DS55" s="42"/>
      <c r="DT55" s="42"/>
      <c r="DU55" s="42"/>
      <c r="DV55" s="42"/>
      <c r="DW55" s="42"/>
      <c r="DZ55" s="42"/>
      <c r="EA55" s="42"/>
      <c r="EB55" s="42"/>
      <c r="EC55" s="42"/>
      <c r="ED55" s="42"/>
      <c r="EE55" s="42"/>
      <c r="EF55" s="42"/>
      <c r="EG55" s="42"/>
    </row>
    <row r="56" spans="1:137" ht="19.5" hidden="1" customHeight="1" x14ac:dyDescent="0.25">
      <c r="A56" s="129"/>
      <c r="B56" s="1"/>
      <c r="C56" s="341"/>
      <c r="E56" s="132"/>
      <c r="F56" s="448"/>
      <c r="G56" s="83"/>
      <c r="H56" s="464" t="s">
        <v>219</v>
      </c>
      <c r="I56" s="465">
        <f>IF(ES5=TRUE,EU5,IF(ES6=TRUE,EU6,IF(ES7=TRUE,EU7, IF(ES8=TRUE, EU8,"  "))))</f>
        <v>0</v>
      </c>
      <c r="J56" s="466" t="str">
        <f>E13</f>
        <v>ppm</v>
      </c>
      <c r="K56" s="1"/>
      <c r="L56" s="34"/>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78"/>
      <c r="BK56" s="95"/>
      <c r="BL56" s="95"/>
      <c r="BM56" s="95"/>
      <c r="BN56" s="1"/>
      <c r="BO56" s="1"/>
      <c r="BP56" s="1"/>
      <c r="BQ56" s="1"/>
      <c r="BR56" s="1"/>
      <c r="BS56" s="1"/>
      <c r="BT56" s="1"/>
      <c r="BU56" s="1"/>
      <c r="BV56" s="1"/>
      <c r="BW56" s="1"/>
      <c r="BX56" s="1"/>
      <c r="BY56" s="1"/>
      <c r="BZ56" s="1"/>
      <c r="CA56" s="1"/>
      <c r="CB56" s="1"/>
      <c r="CC56" s="1"/>
      <c r="CD56" s="1"/>
      <c r="CE56" s="1"/>
      <c r="CF56" s="1"/>
      <c r="CG56" s="1"/>
      <c r="CH56" s="1"/>
      <c r="CI56" s="1"/>
      <c r="CJ56" s="1"/>
      <c r="CK56" s="44"/>
      <c r="CL56" s="1"/>
      <c r="CM56" s="47"/>
      <c r="CN56" s="1"/>
      <c r="CO56" s="1"/>
      <c r="CP56" s="1"/>
      <c r="CQ56" s="1"/>
      <c r="CR56" s="95"/>
      <c r="CS56" s="95"/>
      <c r="CT56" s="95"/>
      <c r="CU56" s="1"/>
      <c r="CV56" s="1"/>
      <c r="CW56" s="1"/>
      <c r="CX56" s="360"/>
      <c r="DB56" s="346"/>
      <c r="DF56" s="42"/>
      <c r="DK56" s="42"/>
      <c r="DL56" s="42"/>
      <c r="DM56" s="42"/>
      <c r="DN56" s="42"/>
      <c r="DO56" s="42"/>
      <c r="DP56" s="42"/>
      <c r="DQ56" s="42"/>
      <c r="DR56" s="42"/>
      <c r="DS56" s="42"/>
      <c r="DT56" s="42"/>
      <c r="DU56" s="42"/>
      <c r="DV56" s="42"/>
      <c r="DW56" s="42"/>
      <c r="DZ56" s="42"/>
      <c r="EA56" s="42"/>
      <c r="EB56" s="42"/>
      <c r="EC56" s="42"/>
      <c r="ED56" s="42"/>
      <c r="EE56" s="42"/>
      <c r="EF56" s="42"/>
      <c r="EG56" s="42"/>
    </row>
    <row r="57" spans="1:137" ht="18.75" customHeight="1" thickBot="1" x14ac:dyDescent="0.3">
      <c r="A57" s="129"/>
      <c r="B57" s="1"/>
      <c r="C57" s="341" t="s">
        <v>64</v>
      </c>
      <c r="D57" s="16"/>
      <c r="F57" s="1"/>
      <c r="G57" s="1"/>
      <c r="H57" s="201"/>
      <c r="I57" s="1"/>
      <c r="J57" s="1"/>
      <c r="K57" s="1"/>
      <c r="L57" s="23"/>
      <c r="M57" s="95"/>
      <c r="N57" s="6"/>
      <c r="O57" s="95"/>
      <c r="P57" s="95"/>
      <c r="Q57" s="750"/>
      <c r="R57" s="750"/>
      <c r="S57" s="750"/>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78"/>
      <c r="BQ57" s="95"/>
      <c r="BR57" s="95"/>
      <c r="BS57" s="95"/>
      <c r="BT57" s="1"/>
      <c r="BU57" s="1"/>
      <c r="BV57" s="1"/>
      <c r="BW57" s="1"/>
      <c r="BX57" s="1"/>
      <c r="BY57" s="1"/>
      <c r="BZ57" s="1"/>
      <c r="CA57" s="1"/>
      <c r="CB57" s="1"/>
      <c r="CC57" s="1"/>
      <c r="CD57" s="1"/>
      <c r="CE57" s="1"/>
      <c r="CF57" s="1"/>
      <c r="CG57" s="1"/>
      <c r="CH57" s="1"/>
      <c r="CI57" s="1"/>
      <c r="CJ57" s="1"/>
      <c r="CK57" s="1"/>
      <c r="CL57" s="1"/>
      <c r="CM57" s="1"/>
      <c r="CN57" s="25"/>
      <c r="CO57" s="478"/>
      <c r="CP57" s="47"/>
      <c r="CQ57" s="47"/>
      <c r="CR57" s="1"/>
      <c r="CS57" s="1"/>
      <c r="CT57" s="1"/>
      <c r="CU57" s="1"/>
      <c r="CV57" s="1"/>
      <c r="CW57" s="1"/>
      <c r="CX57" s="130"/>
      <c r="DB57" s="346"/>
      <c r="DC57" s="42"/>
      <c r="DD57" s="42"/>
      <c r="DE57" s="42"/>
      <c r="DF57" s="42"/>
      <c r="DG57" s="42"/>
      <c r="DH57" s="42"/>
      <c r="DI57" s="42"/>
      <c r="DJ57" s="42"/>
    </row>
    <row r="58" spans="1:137" ht="23.25" customHeight="1" x14ac:dyDescent="0.3">
      <c r="A58" s="129"/>
      <c r="B58" s="425" t="str">
        <f>IF(DO34=" ","  ","u")</f>
        <v xml:space="preserve">  </v>
      </c>
      <c r="C58" s="450" t="str">
        <f>DO34</f>
        <v xml:space="preserve"> </v>
      </c>
      <c r="D58" s="148"/>
      <c r="E58" s="149"/>
      <c r="F58" s="149"/>
      <c r="G58" s="149"/>
      <c r="H58" s="149"/>
      <c r="I58" s="150"/>
      <c r="J58" s="152"/>
      <c r="K58" s="333"/>
      <c r="L58" s="334"/>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335"/>
      <c r="AV58" s="335"/>
      <c r="AW58" s="335"/>
      <c r="AX58" s="335"/>
      <c r="AY58" s="335"/>
      <c r="AZ58" s="335"/>
      <c r="BA58" s="335"/>
      <c r="BB58" s="335"/>
      <c r="BC58" s="335"/>
      <c r="BD58" s="335"/>
      <c r="BE58" s="335"/>
      <c r="BF58" s="335"/>
      <c r="BG58" s="335"/>
      <c r="BH58" s="335"/>
      <c r="BI58" s="335"/>
      <c r="BJ58" s="335"/>
      <c r="BK58" s="335"/>
      <c r="BL58" s="335"/>
      <c r="BM58" s="335"/>
      <c r="BN58" s="335"/>
      <c r="BO58" s="335"/>
      <c r="BP58" s="335"/>
      <c r="BQ58" s="335"/>
      <c r="BR58" s="335"/>
      <c r="BS58" s="335"/>
      <c r="BT58" s="335"/>
      <c r="BU58" s="335"/>
      <c r="BV58" s="335"/>
      <c r="BW58" s="335"/>
      <c r="BX58" s="335"/>
      <c r="BY58" s="335"/>
      <c r="BZ58" s="335"/>
      <c r="CA58" s="335"/>
      <c r="CB58" s="335"/>
      <c r="CC58" s="335"/>
      <c r="CD58" s="335"/>
      <c r="CE58" s="335"/>
      <c r="CF58" s="336"/>
      <c r="CG58" s="337"/>
      <c r="CH58" s="337"/>
      <c r="CI58" s="337"/>
      <c r="CJ58" s="337"/>
      <c r="CK58" s="139"/>
      <c r="CL58" s="139"/>
      <c r="CM58" s="139"/>
      <c r="CN58" s="338"/>
      <c r="CO58" s="339"/>
      <c r="CP58" s="340"/>
      <c r="CQ58" s="340"/>
      <c r="CR58" s="339"/>
      <c r="CS58" s="359"/>
      <c r="CT58" s="139"/>
      <c r="CU58" s="139"/>
      <c r="CV58" s="383"/>
      <c r="CW58" s="383"/>
      <c r="CX58" s="212"/>
      <c r="CY58" s="6"/>
      <c r="DB58" s="346"/>
      <c r="DJ58" s="42"/>
      <c r="DM58" s="42"/>
    </row>
    <row r="59" spans="1:137" ht="19.899999999999999" customHeight="1" x14ac:dyDescent="0.3">
      <c r="A59" s="129"/>
      <c r="B59" s="425" t="str">
        <f>IF(C59=" ","  ","u")</f>
        <v xml:space="preserve">  </v>
      </c>
      <c r="C59" s="451" t="str">
        <f>IF(ROUND($H$52,0)&gt;ROUND($O$42,0),"Rate of manure N application exceeds next crop's fertilizer recommendation or 150 lbs/ac for legumes (ODA Rules &amp; NRCS 590)."," ")</f>
        <v xml:space="preserve"> </v>
      </c>
      <c r="D59" s="47"/>
      <c r="E59" s="47"/>
      <c r="F59" s="35"/>
      <c r="G59" s="35"/>
      <c r="H59" s="35"/>
      <c r="I59" s="35"/>
      <c r="J59" s="35"/>
      <c r="K59" s="34"/>
      <c r="L59" s="23"/>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44"/>
      <c r="CH59" s="44"/>
      <c r="CI59" s="44"/>
      <c r="CJ59" s="44"/>
      <c r="CK59" s="1"/>
      <c r="CL59" s="44"/>
      <c r="CM59" s="1"/>
      <c r="CN59" s="26"/>
      <c r="CO59" s="24"/>
      <c r="CP59" s="24"/>
      <c r="CQ59" s="24"/>
      <c r="CR59" s="24"/>
      <c r="CS59" s="25"/>
      <c r="CT59" s="1"/>
      <c r="CU59" s="1"/>
      <c r="CV59" s="9"/>
      <c r="CW59" s="9"/>
      <c r="CX59" s="130"/>
      <c r="CY59" s="9"/>
      <c r="DB59" s="346"/>
    </row>
    <row r="60" spans="1:137" ht="19.899999999999999" customHeight="1" x14ac:dyDescent="0.3">
      <c r="A60" s="129"/>
      <c r="B60" s="425" t="str">
        <f t="shared" ref="B60:B64" si="67">IF(C60=" ","  ","u")</f>
        <v xml:space="preserve">  </v>
      </c>
      <c r="C60" s="451" t="str">
        <f>IF(ROUND($I$52,0)&gt;ROUND($DU$14,0),"Rate of manure P2O5 application exceeds the P Soil Test Risk Assessment Procedure criteria (ODA Rules &amp; NRCS 590)."," ")</f>
        <v xml:space="preserve"> </v>
      </c>
      <c r="D60" s="47"/>
      <c r="E60" s="35"/>
      <c r="F60" s="35"/>
      <c r="G60" s="35"/>
      <c r="H60" s="35"/>
      <c r="I60" s="35"/>
      <c r="J60" s="34"/>
      <c r="K60" s="37"/>
      <c r="L60" s="23"/>
      <c r="M60" s="37"/>
      <c r="N60" s="37"/>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45"/>
      <c r="CI60" s="45"/>
      <c r="CJ60" s="45"/>
      <c r="CK60" s="44"/>
      <c r="CL60" s="44"/>
      <c r="CM60" s="1"/>
      <c r="CN60" s="25"/>
      <c r="CO60" s="24"/>
      <c r="CP60" s="26"/>
      <c r="CQ60" s="26"/>
      <c r="CR60" s="26"/>
      <c r="CS60" s="22"/>
      <c r="CT60" s="6"/>
      <c r="CU60" s="6"/>
      <c r="CV60" s="9"/>
      <c r="CW60" s="9"/>
      <c r="CX60" s="360"/>
      <c r="CY60" s="9"/>
      <c r="DB60" s="346"/>
    </row>
    <row r="61" spans="1:137" ht="19.899999999999999" customHeight="1" thickBot="1" x14ac:dyDescent="0.35">
      <c r="A61" s="129"/>
      <c r="B61" s="425" t="str">
        <f t="shared" si="67"/>
        <v xml:space="preserve">  </v>
      </c>
      <c r="C61" s="510" t="str">
        <f>IF(AND($DE$89&gt;151,$DE$89&lt;274),"Rate of manure N application must meet Nitrogen Leaching Assessment Procedure, if not applied to a growing crop (ODA Rules &amp; NRCS 590)."," ")</f>
        <v xml:space="preserve"> </v>
      </c>
      <c r="D61" s="501"/>
      <c r="E61" s="502"/>
      <c r="F61" s="502"/>
      <c r="G61" s="502"/>
      <c r="H61" s="502"/>
      <c r="I61" s="502"/>
      <c r="J61" s="504"/>
      <c r="K61" s="508"/>
      <c r="L61" s="503"/>
      <c r="M61" s="508"/>
      <c r="N61" s="508"/>
      <c r="O61" s="505"/>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5"/>
      <c r="AO61" s="505"/>
      <c r="AP61" s="505"/>
      <c r="AQ61" s="505"/>
      <c r="AR61" s="505"/>
      <c r="AS61" s="505"/>
      <c r="AT61" s="505"/>
      <c r="AU61" s="505"/>
      <c r="AV61" s="505"/>
      <c r="AW61" s="505"/>
      <c r="AX61" s="505"/>
      <c r="AY61" s="505"/>
      <c r="AZ61" s="505"/>
      <c r="BA61" s="505"/>
      <c r="BB61" s="505"/>
      <c r="BC61" s="505"/>
      <c r="BD61" s="505"/>
      <c r="BE61" s="505"/>
      <c r="BF61" s="505"/>
      <c r="BG61" s="505"/>
      <c r="BH61" s="505"/>
      <c r="BI61" s="505"/>
      <c r="BJ61" s="505"/>
      <c r="BK61" s="505"/>
      <c r="BL61" s="505"/>
      <c r="BM61" s="505"/>
      <c r="BN61" s="505"/>
      <c r="BO61" s="505"/>
      <c r="BP61" s="505"/>
      <c r="BQ61" s="505"/>
      <c r="BR61" s="505"/>
      <c r="BS61" s="505"/>
      <c r="BT61" s="505"/>
      <c r="BU61" s="505"/>
      <c r="BV61" s="505"/>
      <c r="BW61" s="505"/>
      <c r="BX61" s="505"/>
      <c r="BY61" s="505"/>
      <c r="BZ61" s="505"/>
      <c r="CA61" s="505"/>
      <c r="CB61" s="505"/>
      <c r="CC61" s="505"/>
      <c r="CD61" s="505"/>
      <c r="CE61" s="505"/>
      <c r="CF61" s="505"/>
      <c r="CG61" s="505"/>
      <c r="CH61" s="506"/>
      <c r="CI61" s="506"/>
      <c r="CJ61" s="506"/>
      <c r="CK61" s="507"/>
      <c r="CL61" s="507"/>
      <c r="CM61" s="142"/>
      <c r="CN61" s="511"/>
      <c r="CO61" s="511"/>
      <c r="CP61" s="369"/>
      <c r="CQ61" s="369"/>
      <c r="CR61" s="369"/>
      <c r="CS61" s="512"/>
      <c r="CT61" s="363"/>
      <c r="CU61" s="363"/>
      <c r="CV61" s="371"/>
      <c r="CW61" s="371"/>
      <c r="CX61" s="509"/>
      <c r="CY61" s="9"/>
      <c r="DB61" s="346"/>
    </row>
    <row r="62" spans="1:137" ht="19.899999999999999" customHeight="1" x14ac:dyDescent="0.3">
      <c r="A62" s="129"/>
      <c r="B62" s="426" t="str">
        <f t="shared" si="67"/>
        <v xml:space="preserve">  </v>
      </c>
      <c r="C62" s="452" t="str">
        <f>IF(AND($CU$4&lt;60,ROUND($J$52,0)&gt;500),"Rate of manure K2O application limited to 500 lbs/ac/year (NRCS 590)."," ")</f>
        <v xml:space="preserve"> </v>
      </c>
      <c r="D62" s="47"/>
      <c r="E62" s="6"/>
      <c r="F62" s="36"/>
      <c r="G62" s="36"/>
      <c r="H62" s="36"/>
      <c r="I62" s="36"/>
      <c r="J62" s="6"/>
      <c r="K62" s="35"/>
      <c r="L62" s="23"/>
      <c r="M62" s="34"/>
      <c r="N62" s="34"/>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45"/>
      <c r="CI62" s="45"/>
      <c r="CJ62" s="45"/>
      <c r="CK62" s="44"/>
      <c r="CL62" s="37"/>
      <c r="CM62" s="44"/>
      <c r="CN62" s="26"/>
      <c r="CO62" s="26"/>
      <c r="CP62" s="22"/>
      <c r="CQ62" s="22"/>
      <c r="CR62" s="22"/>
      <c r="CS62" s="9"/>
      <c r="CT62" s="500"/>
      <c r="CU62" s="500"/>
      <c r="CV62" s="9"/>
      <c r="CW62" s="9"/>
      <c r="CX62" s="360"/>
      <c r="CY62" s="9"/>
      <c r="DB62" s="346"/>
    </row>
    <row r="63" spans="1:137" ht="19.899999999999999" customHeight="1" x14ac:dyDescent="0.3">
      <c r="A63" s="129"/>
      <c r="B63" s="426" t="str">
        <f t="shared" si="67"/>
        <v xml:space="preserve">  </v>
      </c>
      <c r="C63" s="452" t="str">
        <f>IF(ROUND($I$52,0)&gt;ROUND($I$44,0),"Rate of manure P2O5 application exceeds crop fertilizer recommendations (Tri-State Fertility Recs)."," ")</f>
        <v xml:space="preserve"> </v>
      </c>
      <c r="D63" s="47"/>
      <c r="E63" s="6"/>
      <c r="F63" s="36"/>
      <c r="G63" s="36"/>
      <c r="H63" s="36"/>
      <c r="I63" s="36"/>
      <c r="J63" s="6"/>
      <c r="K63" s="6"/>
      <c r="L63" s="23"/>
      <c r="M63" s="6"/>
      <c r="N63" s="6"/>
      <c r="O63" s="6"/>
      <c r="P63" s="6"/>
      <c r="Q63" s="6"/>
      <c r="R63" s="6"/>
      <c r="S63" s="6"/>
      <c r="T63" s="6"/>
      <c r="U63" s="6"/>
      <c r="V63" s="6"/>
      <c r="W63" s="6"/>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500"/>
      <c r="CL63" s="6"/>
      <c r="CM63" s="37"/>
      <c r="CN63" s="26"/>
      <c r="CO63" s="25"/>
      <c r="CP63" s="22"/>
      <c r="CQ63" s="22"/>
      <c r="CR63" s="22"/>
      <c r="CS63" s="9"/>
      <c r="CT63" s="500"/>
      <c r="CU63" s="500"/>
      <c r="CV63" s="9"/>
      <c r="CW63" s="9"/>
      <c r="CX63" s="361"/>
      <c r="CY63" s="9"/>
      <c r="DB63" s="346"/>
    </row>
    <row r="64" spans="1:137" ht="21" customHeight="1" x14ac:dyDescent="0.3">
      <c r="A64" s="129"/>
      <c r="B64" s="426" t="str">
        <f t="shared" si="67"/>
        <v xml:space="preserve">  </v>
      </c>
      <c r="C64" s="452" t="str">
        <f>IF(ROUND($J$52,0)&gt;ROUND($J$44,0),"Rate of manure K2O application exceeds crop fertilizer recommendations (Tri-State Fertility Recs)."," ")</f>
        <v xml:space="preserve"> </v>
      </c>
      <c r="D64" s="47"/>
      <c r="F64" s="6"/>
      <c r="G64" s="6"/>
      <c r="H64" s="36"/>
      <c r="I64" s="36"/>
      <c r="J64" s="36"/>
      <c r="K64" s="36"/>
      <c r="L64" s="6"/>
      <c r="M64" s="6"/>
      <c r="N64" s="6"/>
      <c r="O64" s="6"/>
      <c r="P64" s="6"/>
      <c r="Q64" s="6"/>
      <c r="R64" s="6"/>
      <c r="S64" s="6"/>
      <c r="T64" s="6"/>
      <c r="U64" s="6"/>
      <c r="V64" s="6"/>
      <c r="W64" s="6"/>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500"/>
      <c r="CL64" s="43"/>
      <c r="CM64" s="500"/>
      <c r="CN64" s="26"/>
      <c r="CO64" s="25"/>
      <c r="CP64" s="22"/>
      <c r="CQ64" s="22"/>
      <c r="CR64" s="22"/>
      <c r="CS64" s="9"/>
      <c r="CT64" s="9"/>
      <c r="CU64" s="9"/>
      <c r="CV64" s="9"/>
      <c r="CW64" s="9"/>
      <c r="CX64" s="361"/>
      <c r="CY64" s="9"/>
      <c r="DB64" s="346"/>
    </row>
    <row r="65" spans="1:122" ht="9.75" customHeight="1" thickBot="1" x14ac:dyDescent="0.3">
      <c r="A65" s="111"/>
      <c r="B65" s="142"/>
      <c r="C65" s="410"/>
      <c r="D65" s="362"/>
      <c r="E65" s="362"/>
      <c r="F65" s="362"/>
      <c r="G65" s="362"/>
      <c r="H65" s="362"/>
      <c r="I65" s="362"/>
      <c r="J65" s="362"/>
      <c r="K65" s="363"/>
      <c r="L65" s="363"/>
      <c r="M65" s="364"/>
      <c r="N65" s="365"/>
      <c r="O65" s="363"/>
      <c r="P65" s="363"/>
      <c r="Q65" s="363"/>
      <c r="R65" s="363"/>
      <c r="S65" s="363"/>
      <c r="T65" s="363"/>
      <c r="U65" s="363"/>
      <c r="V65" s="363"/>
      <c r="W65" s="363"/>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7"/>
      <c r="CM65" s="367"/>
      <c r="CN65" s="368"/>
      <c r="CO65" s="369"/>
      <c r="CP65" s="370"/>
      <c r="CQ65" s="370"/>
      <c r="CR65" s="370"/>
      <c r="CS65" s="371"/>
      <c r="CT65" s="371"/>
      <c r="CU65" s="371"/>
      <c r="CV65" s="371"/>
      <c r="CW65" s="371"/>
      <c r="CX65" s="372"/>
      <c r="CY65" s="9"/>
      <c r="CZ65" s="37"/>
      <c r="DB65" s="346"/>
    </row>
    <row r="66" spans="1:122" ht="3" customHeight="1" thickBot="1" x14ac:dyDescent="0.3">
      <c r="K66" s="202"/>
      <c r="L66" s="28"/>
      <c r="M66" s="202"/>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4"/>
      <c r="CM66" s="24"/>
      <c r="CN66" s="6"/>
      <c r="CO66" s="25"/>
      <c r="CP66" s="22"/>
      <c r="CQ66" s="22"/>
      <c r="CR66" s="22"/>
      <c r="CS66" s="9"/>
      <c r="CT66" s="9"/>
      <c r="CU66" s="9"/>
      <c r="CV66" s="9"/>
      <c r="CW66" s="9"/>
      <c r="CX66" s="9"/>
      <c r="CY66" s="9"/>
      <c r="CZ66" s="6"/>
      <c r="DB66" s="346"/>
      <c r="DC66" s="343"/>
    </row>
    <row r="67" spans="1:122" ht="6.75" customHeight="1" x14ac:dyDescent="0.4">
      <c r="A67" s="1"/>
      <c r="B67" s="444"/>
      <c r="K67" s="18"/>
      <c r="L67" s="29"/>
      <c r="M67" s="202"/>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4"/>
      <c r="CM67" s="24"/>
      <c r="CN67" s="39"/>
      <c r="CO67" s="26"/>
      <c r="CP67" s="22"/>
      <c r="CQ67" s="22"/>
      <c r="CR67" s="22"/>
      <c r="CS67" s="9"/>
      <c r="CT67" s="9"/>
      <c r="CU67" s="9"/>
      <c r="CV67" s="9"/>
      <c r="CW67" s="9"/>
      <c r="CX67" s="9"/>
      <c r="CY67" s="9"/>
      <c r="CZ67" s="6"/>
      <c r="DB67" s="342"/>
      <c r="DD67" s="743" t="s">
        <v>196</v>
      </c>
      <c r="DE67" s="744"/>
      <c r="DF67" s="744"/>
      <c r="DG67" s="745"/>
      <c r="DQ67" s="2">
        <f>$D$4-DATE(YEAR($D$4),1,0)</f>
        <v>0</v>
      </c>
    </row>
    <row r="68" spans="1:122" ht="18.600000000000001" customHeight="1" x14ac:dyDescent="0.2">
      <c r="A68" s="1"/>
      <c r="B68" s="1"/>
      <c r="C68" s="19"/>
      <c r="D68" s="19"/>
      <c r="E68" s="6"/>
      <c r="F68" s="6"/>
      <c r="G68" s="6"/>
      <c r="H68" s="6"/>
      <c r="I68" s="6"/>
      <c r="J68" s="23"/>
      <c r="K68" s="23"/>
      <c r="L68" s="29"/>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4"/>
      <c r="CL68" s="24"/>
      <c r="CM68" s="25"/>
      <c r="CN68" s="6"/>
      <c r="CO68" s="26"/>
      <c r="CP68" s="15"/>
      <c r="CQ68" s="15"/>
      <c r="CR68" s="15"/>
      <c r="CS68" s="6"/>
      <c r="CT68" s="9"/>
      <c r="CU68" s="9"/>
      <c r="CV68" s="9"/>
      <c r="CW68" s="9"/>
      <c r="CX68" s="9"/>
      <c r="CY68" s="6"/>
      <c r="CZ68" s="6"/>
      <c r="DA68" s="6"/>
      <c r="DB68" s="346"/>
      <c r="DC68" s="751" t="s">
        <v>131</v>
      </c>
      <c r="DD68" s="587" t="str">
        <f>CS2</f>
        <v>lbs/ 1,000 gallons</v>
      </c>
      <c r="DE68" s="752"/>
      <c r="DF68" s="752"/>
      <c r="DG68" s="753"/>
      <c r="DH68" s="4"/>
      <c r="DK68" s="248" t="s">
        <v>7</v>
      </c>
      <c r="DL68" s="251" t="s">
        <v>121</v>
      </c>
      <c r="DM68" s="252"/>
      <c r="DN68" s="252"/>
      <c r="DO68" s="253"/>
      <c r="DQ68" s="344"/>
      <c r="DR68" s="2" t="str">
        <f>IF(AND(DQ68&gt;150,DQ68&lt;273),"Perform N Leaching Assessment Procedure"," ")</f>
        <v xml:space="preserve"> </v>
      </c>
    </row>
    <row r="69" spans="1:122" ht="21.75" customHeight="1" thickBot="1" x14ac:dyDescent="0.25">
      <c r="A69" s="1"/>
      <c r="B69" s="1"/>
      <c r="C69" s="6"/>
      <c r="D69" s="6"/>
      <c r="E69" s="6"/>
      <c r="F69" s="311"/>
      <c r="G69" s="311"/>
      <c r="H69" s="311"/>
      <c r="I69" s="311"/>
      <c r="J69" s="23"/>
      <c r="K69" s="23"/>
      <c r="L69" s="29"/>
      <c r="M69" s="23"/>
      <c r="N69" s="23"/>
      <c r="O69" s="23"/>
      <c r="P69" s="23"/>
      <c r="Q69" s="23"/>
      <c r="R69" s="23"/>
      <c r="S69" s="23"/>
      <c r="T69" s="23"/>
      <c r="U69" s="23"/>
      <c r="V69" s="23"/>
      <c r="W69" s="23"/>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6"/>
      <c r="CN69" s="43"/>
      <c r="CO69" s="26"/>
      <c r="CP69" s="15"/>
      <c r="CQ69" s="15"/>
      <c r="CR69" s="15"/>
      <c r="CS69" s="6"/>
      <c r="CT69" s="9"/>
      <c r="CU69" s="9"/>
      <c r="CV69" s="6"/>
      <c r="CW69" s="6"/>
      <c r="CX69" s="9"/>
      <c r="CY69" s="6"/>
      <c r="CZ69" s="9"/>
      <c r="DA69" s="9"/>
      <c r="DB69" s="346"/>
      <c r="DC69" s="751"/>
      <c r="DD69" s="52" t="s">
        <v>0</v>
      </c>
      <c r="DE69" s="53" t="s">
        <v>1</v>
      </c>
      <c r="DF69" s="53" t="s">
        <v>2</v>
      </c>
      <c r="DG69" s="54" t="s">
        <v>3</v>
      </c>
      <c r="DH69" s="4"/>
      <c r="DJ69" s="2" t="b">
        <f>AND(DE89&gt;59,DE89&lt;121)</f>
        <v>0</v>
      </c>
      <c r="DK69" s="249" t="s">
        <v>11</v>
      </c>
      <c r="DL69" s="254" t="s">
        <v>125</v>
      </c>
      <c r="DM69" s="1"/>
      <c r="DN69" s="1"/>
      <c r="DO69" s="255"/>
      <c r="DP69" s="1"/>
      <c r="DQ69" s="2" t="s">
        <v>168</v>
      </c>
    </row>
    <row r="70" spans="1:122" ht="15.95" customHeight="1" thickBot="1" x14ac:dyDescent="0.25">
      <c r="A70" s="1"/>
      <c r="B70" s="1"/>
      <c r="C70" s="6"/>
      <c r="D70" s="6"/>
      <c r="E70" s="6"/>
      <c r="F70" s="23"/>
      <c r="G70" s="23"/>
      <c r="H70" s="23"/>
      <c r="I70" s="23"/>
      <c r="J70" s="23"/>
      <c r="K70" s="23"/>
      <c r="L70" s="6"/>
      <c r="M70" s="23"/>
      <c r="N70" s="23"/>
      <c r="O70" s="23"/>
      <c r="P70" s="23"/>
      <c r="Q70" s="23"/>
      <c r="R70" s="23"/>
      <c r="S70" s="23"/>
      <c r="T70" s="23"/>
      <c r="U70" s="23"/>
      <c r="V70" s="23"/>
      <c r="W70" s="23"/>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5"/>
      <c r="CN70" s="311"/>
      <c r="CO70" s="27"/>
      <c r="CP70" s="38"/>
      <c r="CQ70" s="38"/>
      <c r="CR70" s="38"/>
      <c r="CS70" s="6"/>
      <c r="CT70" s="9"/>
      <c r="CU70" s="9"/>
      <c r="CV70" s="6"/>
      <c r="CW70" s="6"/>
      <c r="CX70" s="9"/>
      <c r="CY70" s="6"/>
      <c r="CZ70" s="9"/>
      <c r="DA70" s="9"/>
      <c r="DB70" s="346"/>
      <c r="DC70" s="751"/>
      <c r="DD70" s="428">
        <f>CS4</f>
        <v>0</v>
      </c>
      <c r="DE70" s="429">
        <f>CT4</f>
        <v>0</v>
      </c>
      <c r="DF70" s="429">
        <f>CU4</f>
        <v>0</v>
      </c>
      <c r="DG70" s="429">
        <f>CV4</f>
        <v>0</v>
      </c>
      <c r="DH70" s="4"/>
      <c r="DJ70" s="2" t="b">
        <f>AND(DE89&gt;120,DE89&lt;182)</f>
        <v>0</v>
      </c>
      <c r="DK70" s="249" t="s">
        <v>170</v>
      </c>
      <c r="DL70" s="254" t="s">
        <v>126</v>
      </c>
      <c r="DM70" s="1"/>
      <c r="DN70" s="1"/>
      <c r="DO70" s="255"/>
      <c r="DP70" s="1"/>
    </row>
    <row r="71" spans="1:122" ht="15.95" customHeight="1" thickBot="1" x14ac:dyDescent="0.25">
      <c r="A71" s="1"/>
      <c r="B71" s="1"/>
      <c r="C71" s="6"/>
      <c r="D71" s="6"/>
      <c r="E71" s="6"/>
      <c r="F71" s="23"/>
      <c r="G71" s="23"/>
      <c r="H71" s="23"/>
      <c r="I71" s="23"/>
      <c r="J71" s="23"/>
      <c r="K71" s="23"/>
      <c r="L71" s="29"/>
      <c r="M71" s="23"/>
      <c r="N71" s="23"/>
      <c r="O71" s="23"/>
      <c r="P71" s="23"/>
      <c r="Q71" s="23"/>
      <c r="R71" s="23"/>
      <c r="S71" s="23"/>
      <c r="T71" s="23"/>
      <c r="U71" s="23"/>
      <c r="V71" s="23"/>
      <c r="W71" s="23"/>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6"/>
      <c r="CN71" s="30"/>
      <c r="CO71" s="6"/>
      <c r="CP71" s="27"/>
      <c r="CQ71" s="27"/>
      <c r="CR71" s="27"/>
      <c r="CS71" s="17"/>
      <c r="CT71" s="9"/>
      <c r="CU71" s="9"/>
      <c r="CV71" s="6"/>
      <c r="CW71" s="6"/>
      <c r="CX71" s="9"/>
      <c r="CY71" s="17"/>
      <c r="CZ71" s="9"/>
      <c r="DA71" s="9"/>
      <c r="DB71" s="346"/>
      <c r="DC71" s="35" t="s">
        <v>194</v>
      </c>
      <c r="DD71" s="415">
        <f xml:space="preserve"> IF($I$5=$DO$7,(DD70+DE70/2), DD70)</f>
        <v>0</v>
      </c>
      <c r="DE71" s="416">
        <f xml:space="preserve"> IF($I$5=$DO$7,(DE70/2), DE70)</f>
        <v>0</v>
      </c>
      <c r="DF71" s="390"/>
      <c r="DG71" s="390"/>
      <c r="DH71" s="4"/>
      <c r="DJ71" s="2" t="b">
        <f>AND(DE89&gt;181,DE89&lt;244)</f>
        <v>0</v>
      </c>
      <c r="DK71" s="249" t="s">
        <v>17</v>
      </c>
      <c r="DL71" s="256" t="s">
        <v>123</v>
      </c>
      <c r="DM71" s="257"/>
      <c r="DN71" s="257"/>
      <c r="DO71" s="258"/>
      <c r="DP71" s="1"/>
    </row>
    <row r="72" spans="1:122" ht="13.5" thickBot="1" x14ac:dyDescent="0.25">
      <c r="A72" s="1"/>
      <c r="B72" s="1"/>
      <c r="C72" s="6"/>
      <c r="D72" s="6"/>
      <c r="E72" s="6"/>
      <c r="F72" s="23"/>
      <c r="G72" s="23"/>
      <c r="H72" s="23"/>
      <c r="I72" s="23"/>
      <c r="J72" s="23"/>
      <c r="K72" s="23"/>
      <c r="L72" s="29"/>
      <c r="M72" s="23"/>
      <c r="N72" s="23"/>
      <c r="O72" s="23"/>
      <c r="P72" s="23"/>
      <c r="Q72" s="23"/>
      <c r="R72" s="23"/>
      <c r="S72" s="23"/>
      <c r="T72" s="23"/>
      <c r="U72" s="23"/>
      <c r="V72" s="23"/>
      <c r="W72" s="23"/>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5"/>
      <c r="CN72" s="31"/>
      <c r="CO72" s="39"/>
      <c r="CP72" s="29"/>
      <c r="CQ72" s="29"/>
      <c r="CR72" s="29"/>
      <c r="CS72" s="6"/>
      <c r="CT72" s="6"/>
      <c r="CU72" s="6"/>
      <c r="CV72" s="17"/>
      <c r="CW72" s="17"/>
      <c r="CX72" s="9"/>
      <c r="CY72" s="6"/>
      <c r="CZ72" s="9"/>
      <c r="DA72" s="9"/>
      <c r="DB72" s="346"/>
      <c r="DC72" s="1"/>
      <c r="DD72" s="1"/>
      <c r="DE72" s="1"/>
      <c r="DF72" s="1"/>
      <c r="DG72" s="1"/>
      <c r="DH72" s="1"/>
      <c r="DJ72" s="2" t="b">
        <f>AND(DE89&gt;243,DE89&lt;305)</f>
        <v>0</v>
      </c>
      <c r="DK72" s="250" t="s">
        <v>18</v>
      </c>
    </row>
    <row r="73" spans="1:122" x14ac:dyDescent="0.2">
      <c r="A73" s="1"/>
      <c r="B73" s="1"/>
      <c r="C73" s="6"/>
      <c r="D73" s="6"/>
      <c r="E73" s="6"/>
      <c r="F73" s="23"/>
      <c r="G73" s="23"/>
      <c r="H73" s="23"/>
      <c r="I73" s="23"/>
      <c r="J73" s="23"/>
      <c r="K73" s="23"/>
      <c r="L73" s="29"/>
      <c r="M73" s="23"/>
      <c r="N73" s="23"/>
      <c r="O73" s="23"/>
      <c r="P73" s="23"/>
      <c r="Q73" s="23"/>
      <c r="R73" s="23"/>
      <c r="S73" s="23"/>
      <c r="T73" s="23"/>
      <c r="U73" s="23"/>
      <c r="V73" s="23"/>
      <c r="W73" s="23"/>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6"/>
      <c r="CN73" s="43"/>
      <c r="CO73" s="6"/>
      <c r="CP73" s="27"/>
      <c r="CQ73" s="27"/>
      <c r="CR73" s="27"/>
      <c r="CS73" s="17"/>
      <c r="CT73" s="6"/>
      <c r="CU73" s="6"/>
      <c r="CV73" s="6"/>
      <c r="CW73" s="6"/>
      <c r="CX73" s="6"/>
      <c r="CY73" s="17"/>
      <c r="CZ73" s="9"/>
      <c r="DA73" s="9"/>
      <c r="DB73" s="746"/>
      <c r="DC73" s="747" t="s">
        <v>4</v>
      </c>
      <c r="DD73" s="748"/>
      <c r="DE73" s="748"/>
      <c r="DF73" s="748"/>
      <c r="DG73" s="749"/>
      <c r="DH73" s="61"/>
    </row>
    <row r="74" spans="1:122" ht="13.15" customHeight="1" x14ac:dyDescent="0.2">
      <c r="A74" s="1"/>
      <c r="B74" s="1"/>
      <c r="C74" s="6"/>
      <c r="D74" s="6"/>
      <c r="E74" s="6"/>
      <c r="F74" s="23"/>
      <c r="G74" s="23"/>
      <c r="H74" s="23"/>
      <c r="I74" s="23"/>
      <c r="J74" s="23"/>
      <c r="K74" s="23"/>
      <c r="L74" s="29"/>
      <c r="M74" s="23"/>
      <c r="N74" s="23"/>
      <c r="O74" s="23"/>
      <c r="P74" s="23"/>
      <c r="Q74" s="23"/>
      <c r="R74" s="23"/>
      <c r="S74" s="23"/>
      <c r="T74" s="23"/>
      <c r="U74" s="23"/>
      <c r="V74" s="23"/>
      <c r="W74" s="23"/>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5"/>
      <c r="CN74" s="311"/>
      <c r="CO74" s="43"/>
      <c r="CP74" s="43"/>
      <c r="CQ74" s="43"/>
      <c r="CR74" s="43"/>
      <c r="CS74" s="29"/>
      <c r="CT74" s="6"/>
      <c r="CU74" s="6"/>
      <c r="CV74" s="17"/>
      <c r="CW74" s="17"/>
      <c r="CX74" s="6"/>
      <c r="CY74" s="29"/>
      <c r="CZ74" s="9"/>
      <c r="DA74" s="9"/>
      <c r="DB74" s="746"/>
      <c r="DC74" s="587" t="s">
        <v>19</v>
      </c>
      <c r="DD74" s="588"/>
      <c r="DE74" s="589" t="s">
        <v>5</v>
      </c>
      <c r="DF74" s="589" t="s">
        <v>6</v>
      </c>
      <c r="DG74" s="591" t="s">
        <v>30</v>
      </c>
      <c r="DH74" s="317"/>
      <c r="DI74" s="595" t="s">
        <v>161</v>
      </c>
      <c r="DJ74" s="596"/>
      <c r="DK74" s="596"/>
      <c r="DL74" s="597"/>
    </row>
    <row r="75" spans="1:122" ht="13.5" thickBot="1" x14ac:dyDescent="0.25">
      <c r="A75" s="1"/>
      <c r="B75" s="1"/>
      <c r="C75" s="6"/>
      <c r="D75" s="6"/>
      <c r="E75" s="6"/>
      <c r="F75" s="23"/>
      <c r="G75" s="23"/>
      <c r="H75" s="23"/>
      <c r="I75" s="23"/>
      <c r="J75" s="23"/>
      <c r="K75" s="23"/>
      <c r="L75" s="41"/>
      <c r="M75" s="23"/>
      <c r="N75" s="23"/>
      <c r="O75" s="23"/>
      <c r="P75" s="23"/>
      <c r="Q75" s="23"/>
      <c r="R75" s="23"/>
      <c r="S75" s="23"/>
      <c r="T75" s="23"/>
      <c r="U75" s="23"/>
      <c r="V75" s="23"/>
      <c r="W75" s="23"/>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6"/>
      <c r="CN75" s="30"/>
      <c r="CO75" s="311"/>
      <c r="CP75" s="311"/>
      <c r="CQ75" s="373"/>
      <c r="CR75" s="311"/>
      <c r="CS75" s="29"/>
      <c r="CT75" s="17"/>
      <c r="CU75" s="17"/>
      <c r="CV75" s="29"/>
      <c r="CW75" s="29"/>
      <c r="CX75" s="6"/>
      <c r="CY75" s="29"/>
      <c r="CZ75" s="9"/>
      <c r="DA75" s="9"/>
      <c r="DB75" s="746"/>
      <c r="DC75" s="52" t="s">
        <v>0</v>
      </c>
      <c r="DD75" s="53" t="s">
        <v>1</v>
      </c>
      <c r="DE75" s="590"/>
      <c r="DF75" s="590"/>
      <c r="DG75" s="592"/>
      <c r="DH75" s="259"/>
      <c r="DI75" s="260" t="s">
        <v>127</v>
      </c>
      <c r="DJ75" s="261" t="s">
        <v>128</v>
      </c>
      <c r="DK75" s="262" t="s">
        <v>129</v>
      </c>
      <c r="DL75" s="260" t="s">
        <v>10</v>
      </c>
      <c r="DM75" s="278" t="s">
        <v>130</v>
      </c>
    </row>
    <row r="76" spans="1:122" ht="19.5" customHeight="1" x14ac:dyDescent="0.25">
      <c r="A76" s="1"/>
      <c r="B76" s="1"/>
      <c r="C76" s="6"/>
      <c r="D76" s="6"/>
      <c r="E76" s="6"/>
      <c r="F76" s="23"/>
      <c r="G76" s="23"/>
      <c r="H76" s="23"/>
      <c r="I76" s="23"/>
      <c r="J76" s="23"/>
      <c r="K76" s="23"/>
      <c r="L76" s="41"/>
      <c r="M76" s="23"/>
      <c r="N76" s="23"/>
      <c r="O76" s="23"/>
      <c r="P76" s="23"/>
      <c r="Q76" s="23"/>
      <c r="R76" s="23"/>
      <c r="S76" s="23"/>
      <c r="T76" s="23"/>
      <c r="U76" s="23"/>
      <c r="V76" s="23"/>
      <c r="W76" s="23"/>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6"/>
      <c r="CN76" s="30"/>
      <c r="CO76" s="30"/>
      <c r="CP76" s="30"/>
      <c r="CQ76" s="30"/>
      <c r="CR76" s="30"/>
      <c r="CS76" s="29"/>
      <c r="CT76" s="6"/>
      <c r="CU76" s="6"/>
      <c r="CV76" s="29"/>
      <c r="CW76" s="29"/>
      <c r="CX76" s="17"/>
      <c r="CY76" s="29"/>
      <c r="CZ76" s="9"/>
      <c r="DA76" s="9"/>
      <c r="DB76" s="254"/>
      <c r="DC76" s="55">
        <v>0.5</v>
      </c>
      <c r="DD76" s="56">
        <v>0.33</v>
      </c>
      <c r="DE76" s="7" t="s">
        <v>7</v>
      </c>
      <c r="DF76" s="8" t="s">
        <v>8</v>
      </c>
      <c r="DG76" s="32">
        <f t="shared" ref="DG76:DG85" si="68">((DC76*$DD$71)+(DD76*$DE$71))</f>
        <v>0</v>
      </c>
      <c r="DH76" s="593" t="s">
        <v>9</v>
      </c>
      <c r="DI76" s="216" t="b">
        <f>AND($CQ$8=DK68,$CS$8=DL68)</f>
        <v>0</v>
      </c>
      <c r="DJ76" s="216" t="b">
        <f>AND($CQ$8=DK68,$CS$8=DL69)</f>
        <v>0</v>
      </c>
      <c r="DK76" s="216" t="b">
        <f>AND($CQ$8=DK68,$CS$8=DL70)</f>
        <v>1</v>
      </c>
      <c r="DL76" s="216" t="b">
        <f>AND($CQ$8=DK68,$CS$8=DL71)</f>
        <v>0</v>
      </c>
      <c r="DM76" s="264">
        <f>IF(DI76=TRUE,DG76,IF(DJ76=TRUE,DG76,IF(DK76=TRUE,DG76, IF(DL76=TRUE," ","  "))))</f>
        <v>0</v>
      </c>
    </row>
    <row r="77" spans="1:122" ht="15" customHeight="1" x14ac:dyDescent="0.25">
      <c r="A77" s="1"/>
      <c r="B77" s="1"/>
      <c r="C77" s="6"/>
      <c r="D77" s="6"/>
      <c r="E77" s="6"/>
      <c r="F77" s="23"/>
      <c r="G77" s="23"/>
      <c r="H77" s="23"/>
      <c r="I77" s="23"/>
      <c r="J77" s="6"/>
      <c r="K77" s="6"/>
      <c r="L77" s="201"/>
      <c r="M77" s="23"/>
      <c r="N77" s="23"/>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26"/>
      <c r="CN77" s="41"/>
      <c r="CO77" s="31"/>
      <c r="CP77" s="31"/>
      <c r="CQ77" s="31"/>
      <c r="CR77" s="31"/>
      <c r="CS77" s="6"/>
      <c r="CT77" s="17"/>
      <c r="CU77" s="17"/>
      <c r="CV77" s="29"/>
      <c r="CW77" s="29"/>
      <c r="CX77" s="6"/>
      <c r="CY77" s="6"/>
      <c r="CZ77" s="9"/>
      <c r="DA77" s="9"/>
      <c r="DB77" s="346"/>
      <c r="DC77" s="57">
        <v>0.25</v>
      </c>
      <c r="DD77" s="58">
        <v>0.33</v>
      </c>
      <c r="DE77" s="10" t="s">
        <v>7</v>
      </c>
      <c r="DF77" s="11" t="s">
        <v>10</v>
      </c>
      <c r="DG77" s="32">
        <f t="shared" si="68"/>
        <v>0</v>
      </c>
      <c r="DH77" s="593"/>
      <c r="DI77" s="216" t="b">
        <f>AND($CQ$8=DK68,$CS$8=DL68)</f>
        <v>0</v>
      </c>
      <c r="DJ77" s="216" t="b">
        <f>AND($CQ$8=DK68,$CS$8=DL69)</f>
        <v>0</v>
      </c>
      <c r="DK77" s="216" t="b">
        <f>AND($CQ$8=DK68,$CS$8=DL70)</f>
        <v>1</v>
      </c>
      <c r="DL77" s="216" t="b">
        <f>AND($CQ$8=DK68,$CS$8=DL71)</f>
        <v>0</v>
      </c>
      <c r="DM77" s="264" t="str">
        <f>IF(DI77=TRUE," ",IF(DJ77=TRUE," ",IF(DK77=TRUE," ", IF(DL77=TRUE,DG77,"  "))))</f>
        <v xml:space="preserve"> </v>
      </c>
    </row>
    <row r="78" spans="1:122" ht="19.5" customHeight="1" x14ac:dyDescent="0.25">
      <c r="A78" s="1"/>
      <c r="B78" s="1"/>
      <c r="C78" s="6"/>
      <c r="D78" s="6"/>
      <c r="E78" s="6"/>
      <c r="F78" s="23"/>
      <c r="G78" s="23"/>
      <c r="H78" s="23"/>
      <c r="I78" s="23"/>
      <c r="J78" s="28"/>
      <c r="K78" s="28"/>
      <c r="L78" s="33"/>
      <c r="M78" s="6"/>
      <c r="N78" s="6"/>
      <c r="O78" s="28"/>
      <c r="P78" s="28"/>
      <c r="Q78" s="28"/>
      <c r="R78" s="28"/>
      <c r="S78" s="28"/>
      <c r="T78" s="28"/>
      <c r="U78" s="28"/>
      <c r="V78" s="28"/>
      <c r="W78" s="28"/>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27"/>
      <c r="CN78" s="41"/>
      <c r="CO78" s="43"/>
      <c r="CP78" s="43"/>
      <c r="CQ78" s="43"/>
      <c r="CR78" s="43"/>
      <c r="CS78" s="29"/>
      <c r="CT78" s="29"/>
      <c r="CU78" s="29"/>
      <c r="CV78" s="6"/>
      <c r="CW78" s="6"/>
      <c r="CX78" s="17"/>
      <c r="CY78" s="29"/>
      <c r="CZ78" s="9"/>
      <c r="DA78" s="9"/>
      <c r="DB78" s="346"/>
      <c r="DC78" s="57">
        <v>0.5</v>
      </c>
      <c r="DD78" s="58">
        <v>0.33</v>
      </c>
      <c r="DE78" s="10" t="s">
        <v>11</v>
      </c>
      <c r="DF78" s="12" t="s">
        <v>12</v>
      </c>
      <c r="DG78" s="32">
        <f t="shared" si="68"/>
        <v>0</v>
      </c>
      <c r="DH78" s="593"/>
      <c r="DI78" s="216" t="b">
        <f>AND($CQ$8=DK69,$CS$8=DL68)</f>
        <v>0</v>
      </c>
      <c r="DJ78" s="216" t="b">
        <f>AND($CQ$8=DK69,$CS$8=DL69)</f>
        <v>0</v>
      </c>
      <c r="DK78" s="216" t="b">
        <f>AND($CQ$8=DK69,$CS$8=DL70)</f>
        <v>0</v>
      </c>
      <c r="DL78" s="216" t="b">
        <f>AND($CQ$8=DK69,$CS$8=DL71)</f>
        <v>0</v>
      </c>
      <c r="DM78" s="264" t="str">
        <f>IF(DI78=TRUE,DG78,IF(DJ78=TRUE,DG78,IF(DK78=TRUE," ", IF(DL78=TRUE," ","  "))))</f>
        <v xml:space="preserve">  </v>
      </c>
    </row>
    <row r="79" spans="1:122" ht="15" customHeight="1" x14ac:dyDescent="0.25">
      <c r="A79" s="1"/>
      <c r="B79" s="1"/>
      <c r="C79" s="6"/>
      <c r="D79" s="6"/>
      <c r="E79" s="6"/>
      <c r="F79" s="23"/>
      <c r="G79" s="23"/>
      <c r="H79" s="23"/>
      <c r="I79" s="23"/>
      <c r="J79" s="6"/>
      <c r="K79" s="6"/>
      <c r="M79" s="28"/>
      <c r="N79" s="28"/>
      <c r="O79" s="6"/>
      <c r="P79" s="6"/>
      <c r="Q79" s="6"/>
      <c r="R79" s="6"/>
      <c r="S79" s="6"/>
      <c r="T79" s="6"/>
      <c r="U79" s="6"/>
      <c r="V79" s="6"/>
      <c r="W79" s="6"/>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6"/>
      <c r="CN79" s="309"/>
      <c r="CO79" s="311"/>
      <c r="CP79" s="311"/>
      <c r="CQ79" s="373"/>
      <c r="CR79" s="311"/>
      <c r="CS79" s="29"/>
      <c r="CT79" s="29"/>
      <c r="CU79" s="29"/>
      <c r="CV79" s="29"/>
      <c r="CW79" s="29"/>
      <c r="CX79" s="29"/>
      <c r="CY79" s="29"/>
      <c r="CZ79" s="6"/>
      <c r="DA79" s="6"/>
      <c r="DB79" s="356"/>
      <c r="DC79" s="57">
        <v>0.25</v>
      </c>
      <c r="DD79" s="58">
        <v>0.33</v>
      </c>
      <c r="DE79" s="10" t="s">
        <v>11</v>
      </c>
      <c r="DF79" s="11" t="s">
        <v>13</v>
      </c>
      <c r="DG79" s="32">
        <f t="shared" si="68"/>
        <v>0</v>
      </c>
      <c r="DH79" s="593"/>
      <c r="DI79" s="216" t="b">
        <f>AND($CQ$8=DK69,$CS$8=DL68)</f>
        <v>0</v>
      </c>
      <c r="DJ79" s="216" t="b">
        <f>AND($CQ$8=DK69,$CS$8=DL69)</f>
        <v>0</v>
      </c>
      <c r="DK79" s="216" t="b">
        <f>AND($CQ$8=DK69,$CS$8=DL70)</f>
        <v>0</v>
      </c>
      <c r="DL79" s="216" t="b">
        <f>AND($CQ$8=DK69,$CS$8=DL71)</f>
        <v>0</v>
      </c>
      <c r="DM79" s="264" t="str">
        <f>IF(DI79=TRUE," ",IF(DJ79=TRUE," ",IF(DK79=TRUE,DG79, IF(DL79=TRUE,DG79,"  "))))</f>
        <v xml:space="preserve">  </v>
      </c>
    </row>
    <row r="80" spans="1:122" ht="15" customHeight="1" x14ac:dyDescent="0.25">
      <c r="A80" s="1"/>
      <c r="B80" s="1"/>
      <c r="C80" s="6"/>
      <c r="D80" s="6"/>
      <c r="E80" s="6"/>
      <c r="F80" s="23"/>
      <c r="G80" s="23"/>
      <c r="H80" s="23"/>
      <c r="I80" s="23"/>
      <c r="J80" s="28"/>
      <c r="K80" s="28"/>
      <c r="M80" s="6"/>
      <c r="N80" s="6"/>
      <c r="O80" s="28"/>
      <c r="P80" s="28"/>
      <c r="Q80" s="28"/>
      <c r="R80" s="28"/>
      <c r="S80" s="28"/>
      <c r="T80" s="28"/>
      <c r="U80" s="28"/>
      <c r="V80" s="28"/>
      <c r="W80" s="28"/>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39"/>
      <c r="CN80" s="33"/>
      <c r="CO80" s="30"/>
      <c r="CP80" s="30"/>
      <c r="CQ80" s="30"/>
      <c r="CR80" s="30"/>
      <c r="CS80" s="29"/>
      <c r="CT80" s="29"/>
      <c r="CU80" s="29"/>
      <c r="CV80" s="29"/>
      <c r="CW80" s="29"/>
      <c r="CX80" s="29"/>
      <c r="CY80" s="29"/>
      <c r="CZ80" s="6"/>
      <c r="DA80" s="6"/>
      <c r="DB80" s="357"/>
      <c r="DC80" s="57">
        <v>0.75</v>
      </c>
      <c r="DD80" s="58">
        <v>0.33</v>
      </c>
      <c r="DE80" s="10" t="s">
        <v>14</v>
      </c>
      <c r="DF80" s="12" t="s">
        <v>15</v>
      </c>
      <c r="DG80" s="32">
        <f t="shared" si="68"/>
        <v>0</v>
      </c>
      <c r="DH80" s="593"/>
      <c r="DI80" s="216" t="b">
        <f>AND($CQ$8=DK70,$CS$8=DL68)</f>
        <v>0</v>
      </c>
      <c r="DJ80" s="216" t="b">
        <f>AND($CQ$8=DK70,$CS$8=DL69)</f>
        <v>0</v>
      </c>
      <c r="DK80" s="216" t="b">
        <f>AND($CQ$8=DK70,$CS$8=DL70)</f>
        <v>0</v>
      </c>
      <c r="DL80" s="216" t="b">
        <f>AND($CQ$8=DK70,$CS$8=DL71)</f>
        <v>0</v>
      </c>
      <c r="DM80" s="264" t="str">
        <f>IF(DI80=TRUE,DG80,IF(DJ80=TRUE," ",IF(DK80=TRUE," ", IF(DL80=TRUE," ","  "))))</f>
        <v xml:space="preserve">  </v>
      </c>
    </row>
    <row r="81" spans="1:119" ht="15" customHeight="1" x14ac:dyDescent="0.25">
      <c r="A81" s="1"/>
      <c r="B81" s="1"/>
      <c r="C81" s="6"/>
      <c r="D81" s="6"/>
      <c r="E81" s="6"/>
      <c r="F81" s="23"/>
      <c r="G81" s="23"/>
      <c r="H81" s="23"/>
      <c r="I81" s="23"/>
      <c r="J81" s="29"/>
      <c r="K81" s="29"/>
      <c r="M81" s="28"/>
      <c r="N81" s="28"/>
      <c r="O81" s="29"/>
      <c r="P81" s="29"/>
      <c r="Q81" s="29"/>
      <c r="R81" s="29"/>
      <c r="S81" s="29"/>
      <c r="T81" s="29"/>
      <c r="U81" s="29"/>
      <c r="V81" s="29"/>
      <c r="W81" s="29"/>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6"/>
      <c r="CO81" s="30"/>
      <c r="CP81" s="30"/>
      <c r="CQ81" s="30"/>
      <c r="CR81" s="30"/>
      <c r="CS81" s="29"/>
      <c r="CT81" s="6"/>
      <c r="CU81" s="6"/>
      <c r="CV81" s="29"/>
      <c r="CW81" s="29"/>
      <c r="CX81" s="29"/>
      <c r="CY81" s="29"/>
      <c r="CZ81" s="6"/>
      <c r="DA81" s="6"/>
      <c r="DB81" s="357"/>
      <c r="DC81" s="57">
        <v>0.25</v>
      </c>
      <c r="DD81" s="58">
        <v>0.33</v>
      </c>
      <c r="DE81" s="10" t="s">
        <v>14</v>
      </c>
      <c r="DF81" s="11" t="s">
        <v>16</v>
      </c>
      <c r="DG81" s="32">
        <f t="shared" si="68"/>
        <v>0</v>
      </c>
      <c r="DH81" s="593"/>
      <c r="DI81" s="216" t="b">
        <f>AND($CQ$8=DK70,$CS$8=DL68)</f>
        <v>0</v>
      </c>
      <c r="DJ81" s="216" t="b">
        <f>AND($CQ$8=DK70,$CS$8=DL69)</f>
        <v>0</v>
      </c>
      <c r="DK81" s="216" t="b">
        <f>AND($CQ$8=DK70,$CS$8=DL70)</f>
        <v>0</v>
      </c>
      <c r="DL81" s="216" t="b">
        <f>AND($CQ$8=DK70,$CS$8=DL71)</f>
        <v>0</v>
      </c>
      <c r="DM81" s="264" t="str">
        <f>IF(DI81=TRUE," ",IF(DJ81=TRUE,DG81,IF(DK81=TRUE,DG81, IF(DL81=TRUE,DG81,"  "))))</f>
        <v xml:space="preserve">  </v>
      </c>
    </row>
    <row r="82" spans="1:119" ht="15" customHeight="1" x14ac:dyDescent="0.25">
      <c r="A82" s="1"/>
      <c r="B82" s="1"/>
      <c r="C82" s="6"/>
      <c r="D82" s="6"/>
      <c r="E82" s="6"/>
      <c r="F82" s="6"/>
      <c r="G82" s="6"/>
      <c r="H82" s="6"/>
      <c r="I82" s="6"/>
      <c r="J82" s="29"/>
      <c r="K82" s="29"/>
      <c r="M82" s="29"/>
      <c r="N82" s="29"/>
      <c r="O82" s="29"/>
      <c r="P82" s="29"/>
      <c r="Q82" s="29"/>
      <c r="R82" s="29"/>
      <c r="S82" s="29"/>
      <c r="T82" s="29"/>
      <c r="U82" s="29"/>
      <c r="V82" s="29"/>
      <c r="W82" s="29"/>
      <c r="X82" s="311"/>
      <c r="Y82" s="311"/>
      <c r="Z82" s="311"/>
      <c r="AA82" s="311"/>
      <c r="AB82" s="311"/>
      <c r="AC82" s="311"/>
      <c r="AD82" s="311"/>
      <c r="AE82" s="311"/>
      <c r="AF82" s="311"/>
      <c r="AG82" s="311"/>
      <c r="AH82" s="311"/>
      <c r="AI82" s="311"/>
      <c r="AJ82" s="311"/>
      <c r="AK82" s="311"/>
      <c r="AL82" s="311"/>
      <c r="AM82" s="311"/>
      <c r="AN82" s="311"/>
      <c r="AO82" s="311"/>
      <c r="AP82" s="311"/>
      <c r="AQ82" s="311"/>
      <c r="AR82" s="311"/>
      <c r="AS82" s="311"/>
      <c r="AT82" s="311"/>
      <c r="AU82" s="311"/>
      <c r="AV82" s="311"/>
      <c r="AW82" s="311"/>
      <c r="AX82" s="311"/>
      <c r="AY82" s="311"/>
      <c r="AZ82" s="311"/>
      <c r="BA82" s="311"/>
      <c r="BB82" s="311"/>
      <c r="BC82" s="311"/>
      <c r="BD82" s="311"/>
      <c r="BE82" s="311"/>
      <c r="BF82" s="311"/>
      <c r="BG82" s="311"/>
      <c r="BH82" s="311"/>
      <c r="BI82" s="311"/>
      <c r="BJ82" s="311"/>
      <c r="BK82" s="311"/>
      <c r="BL82" s="311"/>
      <c r="BM82" s="311"/>
      <c r="BN82" s="311"/>
      <c r="BO82" s="311"/>
      <c r="BP82" s="311"/>
      <c r="BQ82" s="311"/>
      <c r="BR82" s="311"/>
      <c r="BS82" s="311"/>
      <c r="BT82" s="311"/>
      <c r="BU82" s="311"/>
      <c r="BV82" s="311"/>
      <c r="BW82" s="311"/>
      <c r="BX82" s="311"/>
      <c r="BY82" s="311"/>
      <c r="BZ82" s="311"/>
      <c r="CA82" s="311"/>
      <c r="CB82" s="311"/>
      <c r="CC82" s="311"/>
      <c r="CD82" s="311"/>
      <c r="CE82" s="311"/>
      <c r="CF82" s="311"/>
      <c r="CG82" s="311"/>
      <c r="CH82" s="311"/>
      <c r="CI82" s="311"/>
      <c r="CJ82" s="311"/>
      <c r="CK82" s="311"/>
      <c r="CL82" s="311"/>
      <c r="CM82" s="43"/>
      <c r="CO82" s="41"/>
      <c r="CP82" s="41"/>
      <c r="CQ82" s="41"/>
      <c r="CR82" s="41"/>
      <c r="CS82" s="41"/>
      <c r="CT82" s="29"/>
      <c r="CU82" s="29"/>
      <c r="CV82" s="29"/>
      <c r="CW82" s="29"/>
      <c r="CX82" s="6"/>
      <c r="CY82" s="41"/>
      <c r="CZ82" s="17"/>
      <c r="DA82" s="17"/>
      <c r="DB82" s="357"/>
      <c r="DC82" s="57">
        <v>0.75</v>
      </c>
      <c r="DD82" s="58">
        <v>0.15</v>
      </c>
      <c r="DE82" s="10" t="s">
        <v>17</v>
      </c>
      <c r="DF82" s="12" t="s">
        <v>15</v>
      </c>
      <c r="DG82" s="32">
        <f t="shared" si="68"/>
        <v>0</v>
      </c>
      <c r="DH82" s="593"/>
      <c r="DI82" s="216" t="b">
        <f>AND($CQ$8=DK71,$CS$8=DL68)</f>
        <v>0</v>
      </c>
      <c r="DJ82" s="216" t="b">
        <f>AND($CQ$8=DK71,$CS$8=DL69)</f>
        <v>0</v>
      </c>
      <c r="DK82" s="216" t="b">
        <f>AND($CQ$8=DK71,$CS$8=DL70)</f>
        <v>0</v>
      </c>
      <c r="DL82" s="216" t="b">
        <f>AND($CQ$8=DK71,$CS$8=DL71)</f>
        <v>0</v>
      </c>
      <c r="DM82" s="264" t="str">
        <f>IF(DI82=TRUE,DG82,IF(DJ82=TRUE," ",IF(DK82=TRUE," ", IF(DL82=TRUE," ","  "))))</f>
        <v xml:space="preserve">  </v>
      </c>
    </row>
    <row r="83" spans="1:119" ht="15" customHeight="1" x14ac:dyDescent="0.25">
      <c r="A83" s="1"/>
      <c r="B83" s="1"/>
      <c r="C83" s="6"/>
      <c r="D83" s="6"/>
      <c r="E83" s="6"/>
      <c r="F83" s="28"/>
      <c r="G83" s="28"/>
      <c r="H83" s="28"/>
      <c r="I83" s="28"/>
      <c r="J83" s="29"/>
      <c r="K83" s="29"/>
      <c r="M83" s="29"/>
      <c r="N83" s="29"/>
      <c r="O83" s="29"/>
      <c r="P83" s="29"/>
      <c r="Q83" s="29"/>
      <c r="R83" s="29"/>
      <c r="S83" s="29"/>
      <c r="T83" s="29"/>
      <c r="U83" s="29"/>
      <c r="V83" s="29"/>
      <c r="W83" s="29"/>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11"/>
      <c r="CO83" s="41"/>
      <c r="CP83" s="41"/>
      <c r="CQ83" s="41"/>
      <c r="CR83" s="41"/>
      <c r="CS83" s="41"/>
      <c r="CT83" s="29"/>
      <c r="CU83" s="29"/>
      <c r="CV83" s="41"/>
      <c r="CW83" s="41"/>
      <c r="CX83" s="29"/>
      <c r="CY83" s="41"/>
      <c r="CZ83" s="6"/>
      <c r="DA83" s="6"/>
      <c r="DB83" s="358"/>
      <c r="DC83" s="57">
        <v>0.25</v>
      </c>
      <c r="DD83" s="58">
        <v>0.15</v>
      </c>
      <c r="DE83" s="10" t="s">
        <v>17</v>
      </c>
      <c r="DF83" s="11" t="s">
        <v>16</v>
      </c>
      <c r="DG83" s="32">
        <f t="shared" si="68"/>
        <v>0</v>
      </c>
      <c r="DH83" s="593"/>
      <c r="DI83" s="216" t="b">
        <f>AND($CQ$8=DK71,$CS$8=DL68)</f>
        <v>0</v>
      </c>
      <c r="DJ83" s="216" t="b">
        <f>AND($CQ$8=DK71,$CS$8=DL69)</f>
        <v>0</v>
      </c>
      <c r="DK83" s="216" t="b">
        <f>AND($CQ$8=DK71,$CS$8=DL70)</f>
        <v>0</v>
      </c>
      <c r="DL83" s="216" t="b">
        <f>AND($CQ$8=DK71,$CS$8=DL71)</f>
        <v>0</v>
      </c>
      <c r="DM83" s="264" t="str">
        <f>IF(DI83=TRUE," ",IF(DJ83=TRUE,DG83,IF(DK83=TRUE,DG83, IF(DL83=TRUE,DG83,"  "))))</f>
        <v xml:space="preserve">  </v>
      </c>
    </row>
    <row r="84" spans="1:119" ht="15" customHeight="1" x14ac:dyDescent="0.25">
      <c r="A84" s="1"/>
      <c r="B84" s="1"/>
      <c r="C84" s="6"/>
      <c r="D84" s="6"/>
      <c r="E84" s="6"/>
      <c r="F84" s="6"/>
      <c r="G84" s="6"/>
      <c r="H84" s="6"/>
      <c r="I84" s="6"/>
      <c r="J84" s="6"/>
      <c r="K84" s="6"/>
      <c r="M84" s="29"/>
      <c r="N84" s="29"/>
      <c r="O84" s="6"/>
      <c r="P84" s="6"/>
      <c r="Q84" s="6"/>
      <c r="R84" s="6"/>
      <c r="S84" s="6"/>
      <c r="T84" s="6"/>
      <c r="U84" s="6"/>
      <c r="V84" s="6"/>
      <c r="W84" s="6"/>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0"/>
      <c r="CO84" s="309"/>
      <c r="CP84" s="18"/>
      <c r="CQ84" s="18"/>
      <c r="CR84" s="18"/>
      <c r="CS84" s="18"/>
      <c r="CT84" s="29"/>
      <c r="CU84" s="29"/>
      <c r="CV84" s="41"/>
      <c r="CW84" s="41"/>
      <c r="CX84" s="29"/>
      <c r="CY84" s="18"/>
      <c r="CZ84" s="17"/>
      <c r="DA84" s="17"/>
      <c r="DB84" s="358"/>
      <c r="DC84" s="57">
        <v>0.25</v>
      </c>
      <c r="DD84" s="58">
        <v>0.33</v>
      </c>
      <c r="DE84" s="10" t="s">
        <v>18</v>
      </c>
      <c r="DF84" s="12" t="s">
        <v>15</v>
      </c>
      <c r="DG84" s="32">
        <f t="shared" si="68"/>
        <v>0</v>
      </c>
      <c r="DH84" s="593"/>
      <c r="DI84" s="216" t="b">
        <f>AND($CQ$8=DK72,$CS$8=DL68)</f>
        <v>0</v>
      </c>
      <c r="DJ84" s="216" t="b">
        <f>AND($CQ$8=DK72,$CS$8=DL69)</f>
        <v>0</v>
      </c>
      <c r="DK84" s="216" t="b">
        <f>AND($CQ$8=DK72,$CS$8=DL70)</f>
        <v>0</v>
      </c>
      <c r="DL84" s="216" t="b">
        <f>AND($CQ$8=DK72,$CS$8=DL71)</f>
        <v>0</v>
      </c>
      <c r="DM84" s="264" t="str">
        <f>IF(DI84=TRUE,DG84,IF(DJ84=TRUE," ",IF(DK84=TRUE," ", IF(DL84=TRUE," ","  "))))</f>
        <v xml:space="preserve">  </v>
      </c>
    </row>
    <row r="85" spans="1:119" ht="15" customHeight="1" thickBot="1" x14ac:dyDescent="0.3">
      <c r="A85" s="1"/>
      <c r="B85" s="1"/>
      <c r="C85" s="6"/>
      <c r="D85" s="6"/>
      <c r="E85" s="6"/>
      <c r="F85" s="28"/>
      <c r="G85" s="28"/>
      <c r="H85" s="28"/>
      <c r="I85" s="28"/>
      <c r="J85" s="29"/>
      <c r="K85" s="29"/>
      <c r="M85" s="6"/>
      <c r="N85" s="6"/>
      <c r="O85" s="29"/>
      <c r="P85" s="29"/>
      <c r="Q85" s="29"/>
      <c r="R85" s="29"/>
      <c r="S85" s="29"/>
      <c r="T85" s="29"/>
      <c r="U85" s="29"/>
      <c r="V85" s="29"/>
      <c r="W85" s="29"/>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31"/>
      <c r="CO85" s="33"/>
      <c r="CP85" s="33"/>
      <c r="CQ85" s="33"/>
      <c r="CR85" s="33"/>
      <c r="CS85" s="33"/>
      <c r="CT85" s="29"/>
      <c r="CU85" s="29"/>
      <c r="CV85" s="18"/>
      <c r="CW85" s="18"/>
      <c r="CX85" s="29"/>
      <c r="CY85" s="33"/>
      <c r="CZ85" s="29"/>
      <c r="DA85" s="29"/>
      <c r="DB85" s="358"/>
      <c r="DC85" s="59">
        <v>0.15</v>
      </c>
      <c r="DD85" s="60">
        <v>0.33</v>
      </c>
      <c r="DE85" s="13" t="s">
        <v>18</v>
      </c>
      <c r="DF85" s="14" t="s">
        <v>16</v>
      </c>
      <c r="DG85" s="32">
        <f t="shared" si="68"/>
        <v>0</v>
      </c>
      <c r="DH85" s="594"/>
      <c r="DI85" s="216" t="b">
        <f>AND($CQ$8=DK72,$CS$8=DL68)</f>
        <v>0</v>
      </c>
      <c r="DJ85" s="216" t="b">
        <f>AND($CQ$8=DK72,$CS$8=DL69)</f>
        <v>0</v>
      </c>
      <c r="DK85" s="216" t="b">
        <f>AND($CQ$8=DK72,$CS$8=DL70)</f>
        <v>0</v>
      </c>
      <c r="DL85" s="216" t="b">
        <f>AND($CQ$8=DK72,$CS$8=DL71)</f>
        <v>0</v>
      </c>
      <c r="DM85" s="264" t="str">
        <f>IF(DI85=TRUE," ",IF(DJ85=TRUE,DG85,IF(DK85=TRUE,DG85, IF(DL85=TRUE,DG85,"  "))))</f>
        <v xml:space="preserve">  </v>
      </c>
    </row>
    <row r="86" spans="1:119" ht="15" customHeight="1" x14ac:dyDescent="0.2">
      <c r="A86" s="1"/>
      <c r="B86" s="1"/>
      <c r="C86" s="6"/>
      <c r="D86" s="6"/>
      <c r="E86" s="6"/>
      <c r="F86" s="29"/>
      <c r="G86" s="29"/>
      <c r="H86" s="29"/>
      <c r="I86" s="29"/>
      <c r="J86" s="29"/>
      <c r="K86" s="29"/>
      <c r="M86" s="29"/>
      <c r="N86" s="29"/>
      <c r="O86" s="29"/>
      <c r="P86" s="29"/>
      <c r="Q86" s="29"/>
      <c r="R86" s="29"/>
      <c r="S86" s="29"/>
      <c r="T86" s="29"/>
      <c r="U86" s="29"/>
      <c r="V86" s="29"/>
      <c r="W86" s="29"/>
      <c r="X86" s="311"/>
      <c r="Y86" s="311"/>
      <c r="Z86" s="311"/>
      <c r="AA86" s="311"/>
      <c r="AB86" s="311"/>
      <c r="AC86" s="311"/>
      <c r="AD86" s="311"/>
      <c r="AE86" s="311"/>
      <c r="AF86" s="311"/>
      <c r="AG86" s="311"/>
      <c r="AH86" s="311"/>
      <c r="AI86" s="311"/>
      <c r="AJ86" s="311"/>
      <c r="AK86" s="311"/>
      <c r="AL86" s="311"/>
      <c r="AM86" s="311"/>
      <c r="AN86" s="311"/>
      <c r="AO86" s="311"/>
      <c r="AP86" s="311"/>
      <c r="AQ86" s="311"/>
      <c r="AR86" s="311"/>
      <c r="AS86" s="311"/>
      <c r="AT86" s="311"/>
      <c r="AU86" s="311"/>
      <c r="AV86" s="311"/>
      <c r="AW86" s="311"/>
      <c r="AX86" s="311"/>
      <c r="AY86" s="311"/>
      <c r="AZ86" s="311"/>
      <c r="BA86" s="311"/>
      <c r="BB86" s="311"/>
      <c r="BC86" s="311"/>
      <c r="BD86" s="311"/>
      <c r="BE86" s="311"/>
      <c r="BF86" s="311"/>
      <c r="BG86" s="311"/>
      <c r="BH86" s="311"/>
      <c r="BI86" s="311"/>
      <c r="BJ86" s="311"/>
      <c r="BK86" s="311"/>
      <c r="BL86" s="311"/>
      <c r="BM86" s="311"/>
      <c r="BN86" s="311"/>
      <c r="BO86" s="311"/>
      <c r="BP86" s="311"/>
      <c r="BQ86" s="311"/>
      <c r="BR86" s="311"/>
      <c r="BS86" s="311"/>
      <c r="BT86" s="311"/>
      <c r="BU86" s="311"/>
      <c r="BV86" s="311"/>
      <c r="BW86" s="311"/>
      <c r="BX86" s="311"/>
      <c r="BY86" s="311"/>
      <c r="BZ86" s="311"/>
      <c r="CA86" s="311"/>
      <c r="CB86" s="311"/>
      <c r="CC86" s="311"/>
      <c r="CD86" s="311"/>
      <c r="CE86" s="311"/>
      <c r="CF86" s="311"/>
      <c r="CG86" s="311"/>
      <c r="CH86" s="311"/>
      <c r="CI86" s="311"/>
      <c r="CJ86" s="311"/>
      <c r="CK86" s="311"/>
      <c r="CL86" s="311"/>
      <c r="CM86" s="43"/>
      <c r="CT86" s="41"/>
      <c r="CU86" s="41"/>
      <c r="CV86" s="33"/>
      <c r="CW86" s="33"/>
      <c r="CX86" s="29"/>
      <c r="CZ86" s="29"/>
      <c r="DA86" s="29"/>
      <c r="DB86" s="9"/>
      <c r="DC86" s="9"/>
      <c r="DD86" s="1"/>
      <c r="DE86" s="1"/>
      <c r="DF86" s="1"/>
      <c r="DM86" s="81"/>
    </row>
    <row r="87" spans="1:119" ht="15" customHeight="1" x14ac:dyDescent="0.25">
      <c r="A87" s="1"/>
      <c r="B87" s="1"/>
      <c r="C87" s="6"/>
      <c r="D87" s="6"/>
      <c r="E87" s="6"/>
      <c r="F87" s="29"/>
      <c r="G87" s="29"/>
      <c r="H87" s="29"/>
      <c r="I87" s="29"/>
      <c r="J87" s="29"/>
      <c r="K87" s="29"/>
      <c r="M87" s="29"/>
      <c r="N87" s="29"/>
      <c r="O87" s="29"/>
      <c r="P87" s="29"/>
      <c r="Q87" s="29"/>
      <c r="R87" s="29"/>
      <c r="S87" s="29"/>
      <c r="T87" s="29"/>
      <c r="U87" s="29"/>
      <c r="V87" s="29"/>
      <c r="W87" s="29"/>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11"/>
      <c r="CT87" s="41"/>
      <c r="CU87" s="41"/>
      <c r="CX87" s="41"/>
      <c r="CZ87" s="29"/>
      <c r="DA87" s="29"/>
      <c r="DB87" s="9"/>
      <c r="DC87" s="9"/>
      <c r="DD87" s="1"/>
      <c r="DE87" s="1"/>
      <c r="DF87" s="1"/>
      <c r="DJ87" s="1"/>
      <c r="DK87" s="585" t="s">
        <v>119</v>
      </c>
      <c r="DL87" s="586"/>
      <c r="DM87" s="263">
        <f>SUM(DM76:DM85)</f>
        <v>0</v>
      </c>
      <c r="DN87" s="583"/>
      <c r="DO87" s="584"/>
    </row>
    <row r="88" spans="1:119" ht="15" customHeight="1" x14ac:dyDescent="0.2">
      <c r="A88" s="1"/>
      <c r="B88" s="1"/>
      <c r="C88" s="6"/>
      <c r="D88" s="6"/>
      <c r="E88" s="6"/>
      <c r="F88" s="29"/>
      <c r="G88" s="29"/>
      <c r="H88" s="29"/>
      <c r="I88" s="29"/>
      <c r="J88" s="29"/>
      <c r="K88" s="29"/>
      <c r="M88" s="29"/>
      <c r="N88" s="29"/>
      <c r="O88" s="29"/>
      <c r="P88" s="29"/>
      <c r="Q88" s="29"/>
      <c r="R88" s="29"/>
      <c r="S88" s="29"/>
      <c r="T88" s="29"/>
      <c r="U88" s="29"/>
      <c r="V88" s="29"/>
      <c r="W88" s="29"/>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T88" s="18"/>
      <c r="CU88" s="18"/>
      <c r="CX88" s="41"/>
      <c r="CZ88" s="6"/>
      <c r="DA88" s="9"/>
      <c r="DB88" s="9"/>
      <c r="DC88" s="79"/>
      <c r="DD88" s="166" t="s">
        <v>172</v>
      </c>
      <c r="DE88" s="376">
        <f>D4</f>
        <v>0</v>
      </c>
    </row>
    <row r="89" spans="1:119" ht="12" customHeight="1" x14ac:dyDescent="0.2">
      <c r="A89" s="1"/>
      <c r="B89" s="1"/>
      <c r="C89" s="6"/>
      <c r="D89" s="6"/>
      <c r="E89" s="6"/>
      <c r="F89" s="6"/>
      <c r="G89" s="6"/>
      <c r="H89" s="6"/>
      <c r="I89" s="6"/>
      <c r="J89" s="41"/>
      <c r="K89" s="41"/>
      <c r="M89" s="29"/>
      <c r="N89" s="29"/>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30"/>
      <c r="CT89" s="33"/>
      <c r="CU89" s="33"/>
      <c r="CX89" s="18"/>
      <c r="CZ89" s="29"/>
      <c r="DA89" s="9"/>
      <c r="DB89" s="9"/>
      <c r="DC89" s="1"/>
      <c r="DD89" s="345" t="s">
        <v>169</v>
      </c>
      <c r="DE89" s="2">
        <f>$D$4-DATE(YEAR($D$4),1,0)</f>
        <v>0</v>
      </c>
    </row>
    <row r="90" spans="1:119" ht="19.5" customHeight="1" x14ac:dyDescent="0.2">
      <c r="A90" s="1"/>
      <c r="B90" s="1"/>
      <c r="C90" s="6"/>
      <c r="D90" s="6"/>
      <c r="E90" s="29"/>
      <c r="F90" s="29"/>
      <c r="G90" s="29"/>
      <c r="H90" s="29"/>
      <c r="I90" s="29"/>
      <c r="J90" s="41"/>
      <c r="K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X90" s="33"/>
      <c r="CZ90" s="29"/>
      <c r="DA90" s="9"/>
      <c r="DB90" s="9"/>
      <c r="DC90" s="1"/>
      <c r="DD90" s="16" t="s">
        <v>171</v>
      </c>
      <c r="DE90" s="2" t="str">
        <f>IF(DJ69=TRUE,DK69,IF(DJ70=TRUE,DK70,IF(DJ71=TRUE,DK71, IF(DJ72=TRUE,DK72,DK68))))</f>
        <v>Nov-Feb</v>
      </c>
    </row>
    <row r="91" spans="1:119" ht="15.75" customHeight="1" x14ac:dyDescent="0.2">
      <c r="A91" s="1"/>
      <c r="B91" s="1"/>
      <c r="C91" s="29"/>
      <c r="D91" s="29"/>
      <c r="E91" s="29"/>
      <c r="F91" s="29"/>
      <c r="G91" s="29"/>
      <c r="H91" s="29"/>
      <c r="I91" s="29"/>
      <c r="J91" s="201"/>
      <c r="K91" s="201"/>
      <c r="M91" s="41"/>
      <c r="N91" s="41"/>
      <c r="O91" s="201"/>
      <c r="P91" s="201"/>
      <c r="Q91" s="201"/>
      <c r="R91" s="201"/>
      <c r="S91" s="201"/>
      <c r="T91" s="201"/>
      <c r="U91" s="201"/>
      <c r="V91" s="201"/>
      <c r="W91" s="201"/>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09"/>
      <c r="BH91" s="309"/>
      <c r="BI91" s="309"/>
      <c r="BJ91" s="309"/>
      <c r="BK91" s="309"/>
      <c r="BL91" s="309"/>
      <c r="BM91" s="309"/>
      <c r="BN91" s="309"/>
      <c r="BO91" s="309"/>
      <c r="BP91" s="309"/>
      <c r="BQ91" s="309"/>
      <c r="BR91" s="309"/>
      <c r="BS91" s="309"/>
      <c r="BT91" s="309"/>
      <c r="BU91" s="309"/>
      <c r="BV91" s="309"/>
      <c r="BW91" s="309"/>
      <c r="BX91" s="309"/>
      <c r="BY91" s="309"/>
      <c r="BZ91" s="309"/>
      <c r="CA91" s="309"/>
      <c r="CB91" s="309"/>
      <c r="CC91" s="309"/>
      <c r="CD91" s="309"/>
      <c r="CE91" s="309"/>
      <c r="CF91" s="309"/>
      <c r="CG91" s="309"/>
      <c r="CH91" s="309"/>
      <c r="CI91" s="309"/>
      <c r="CJ91" s="309"/>
      <c r="CK91" s="309"/>
      <c r="CL91" s="309"/>
      <c r="CM91" s="41"/>
      <c r="CZ91" s="29"/>
      <c r="DA91" s="9"/>
      <c r="DB91" s="9"/>
      <c r="DC91" s="1"/>
      <c r="DD91" s="1"/>
      <c r="DE91" s="1"/>
    </row>
    <row r="92" spans="1:119" ht="36.75" customHeight="1" x14ac:dyDescent="0.2">
      <c r="A92" s="1"/>
      <c r="B92" s="1"/>
      <c r="C92" s="29"/>
      <c r="D92" s="29"/>
      <c r="E92" s="29"/>
      <c r="F92" s="29"/>
      <c r="G92" s="29"/>
      <c r="H92" s="29"/>
      <c r="I92" s="29"/>
      <c r="J92" s="33"/>
      <c r="K92" s="33"/>
      <c r="M92" s="201"/>
      <c r="N92" s="201"/>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09"/>
      <c r="CZ92" s="29"/>
      <c r="DA92" s="9"/>
      <c r="DB92" s="9"/>
      <c r="DC92" s="741" t="s">
        <v>195</v>
      </c>
      <c r="DD92" s="742"/>
      <c r="DE92" s="742"/>
      <c r="DF92" s="742"/>
      <c r="DG92" s="742"/>
      <c r="DH92" s="742"/>
      <c r="DI92" s="1"/>
    </row>
    <row r="93" spans="1:119" ht="15" customHeight="1" x14ac:dyDescent="0.2">
      <c r="A93" s="1"/>
      <c r="B93" s="1"/>
      <c r="C93" s="29"/>
      <c r="D93" s="29"/>
      <c r="E93" s="29"/>
      <c r="F93" s="29"/>
      <c r="G93" s="29"/>
      <c r="H93" s="29"/>
      <c r="I93" s="29"/>
      <c r="M93" s="33"/>
      <c r="N93" s="33"/>
      <c r="CM93" s="33"/>
      <c r="CZ93" s="41"/>
      <c r="DA93" s="6"/>
      <c r="DB93" s="6"/>
      <c r="DC93" s="1"/>
      <c r="DD93" s="1"/>
      <c r="DE93" s="1"/>
      <c r="DH93" s="1"/>
    </row>
    <row r="94" spans="1:119" ht="10.5" customHeight="1" x14ac:dyDescent="0.2">
      <c r="B94" s="1"/>
      <c r="C94" s="29"/>
      <c r="D94" s="29"/>
      <c r="E94" s="40"/>
      <c r="F94" s="41"/>
      <c r="G94" s="41"/>
      <c r="H94" s="41"/>
      <c r="I94" s="41"/>
      <c r="CZ94" s="41"/>
      <c r="DA94" s="6"/>
      <c r="DB94" s="6"/>
      <c r="DC94" s="1"/>
      <c r="DD94" s="1"/>
      <c r="DE94" s="1"/>
    </row>
    <row r="95" spans="1:119" ht="15.75" customHeight="1" x14ac:dyDescent="0.2">
      <c r="C95" s="40"/>
      <c r="D95" s="40"/>
      <c r="E95" s="41"/>
      <c r="F95" s="41"/>
      <c r="G95" s="41"/>
      <c r="H95" s="41"/>
      <c r="I95" s="41"/>
      <c r="CZ95" s="18"/>
      <c r="DA95" s="6"/>
      <c r="DB95" s="6"/>
      <c r="DC95" s="1"/>
      <c r="DD95" s="1"/>
      <c r="DE95" s="1"/>
    </row>
    <row r="96" spans="1:119" ht="18.75" customHeight="1" x14ac:dyDescent="0.2">
      <c r="C96" s="41"/>
      <c r="D96" s="41"/>
      <c r="E96" s="19"/>
      <c r="F96" s="201"/>
      <c r="G96" s="201"/>
      <c r="H96" s="201"/>
      <c r="I96" s="201"/>
      <c r="CZ96" s="33"/>
      <c r="DA96" s="17"/>
      <c r="DB96" s="6"/>
      <c r="DC96" s="1"/>
      <c r="DD96" s="1"/>
      <c r="DE96" s="1"/>
    </row>
    <row r="97" spans="3:110" ht="17.25" customHeight="1" x14ac:dyDescent="0.2">
      <c r="C97" s="19"/>
      <c r="D97" s="19"/>
      <c r="F97" s="33"/>
      <c r="G97" s="33"/>
      <c r="H97" s="33"/>
      <c r="I97" s="33"/>
      <c r="DA97" s="6"/>
      <c r="DB97" s="6"/>
      <c r="DC97" s="1"/>
      <c r="DD97" s="1"/>
      <c r="DE97" s="1"/>
    </row>
    <row r="98" spans="3:110" ht="15" customHeight="1" x14ac:dyDescent="0.2">
      <c r="DA98" s="17"/>
      <c r="DB98" s="6"/>
      <c r="DC98" s="1"/>
      <c r="DD98" s="1"/>
      <c r="DE98" s="1"/>
    </row>
    <row r="99" spans="3:110" ht="16.5" customHeight="1" x14ac:dyDescent="0.2">
      <c r="DA99" s="29"/>
      <c r="DB99" s="6"/>
      <c r="DC99" s="1"/>
      <c r="DD99" s="1"/>
      <c r="DE99" s="1"/>
      <c r="DF99" s="1"/>
    </row>
    <row r="100" spans="3:110" ht="16.5" customHeight="1" x14ac:dyDescent="0.2">
      <c r="DA100" s="29"/>
      <c r="DB100" s="6"/>
      <c r="DC100" s="1"/>
      <c r="DD100" s="1"/>
      <c r="DE100" s="1"/>
    </row>
    <row r="101" spans="3:110" ht="14.25" customHeight="1" x14ac:dyDescent="0.2">
      <c r="DA101" s="29"/>
      <c r="DB101" s="6"/>
      <c r="DC101" s="1"/>
      <c r="DD101" s="1"/>
      <c r="DE101" s="1"/>
    </row>
    <row r="102" spans="3:110" ht="14.25" customHeight="1" x14ac:dyDescent="0.2">
      <c r="DA102" s="6"/>
      <c r="DB102" s="6"/>
      <c r="DC102" s="1"/>
      <c r="DD102" s="1"/>
      <c r="DE102" s="1"/>
    </row>
    <row r="103" spans="3:110" ht="14.25" customHeight="1" x14ac:dyDescent="0.2">
      <c r="DA103" s="29"/>
      <c r="DB103" s="6"/>
      <c r="DC103" s="1"/>
      <c r="DD103" s="1"/>
      <c r="DE103" s="1"/>
    </row>
    <row r="104" spans="3:110" ht="14.25" customHeight="1" x14ac:dyDescent="0.2">
      <c r="DA104" s="29"/>
      <c r="DB104" s="6"/>
      <c r="DC104" s="1"/>
      <c r="DD104" s="1"/>
      <c r="DE104" s="1"/>
    </row>
    <row r="105" spans="3:110" ht="14.25" customHeight="1" x14ac:dyDescent="0.2">
      <c r="DA105" s="29"/>
      <c r="DB105" s="6"/>
      <c r="DC105" s="1"/>
      <c r="DD105" s="1"/>
      <c r="DE105" s="1"/>
    </row>
    <row r="106" spans="3:110" ht="12.75" customHeight="1" x14ac:dyDescent="0.2">
      <c r="DA106" s="29"/>
      <c r="DB106" s="6"/>
      <c r="DC106" s="1"/>
      <c r="DD106" s="1"/>
      <c r="DE106" s="1"/>
    </row>
    <row r="107" spans="3:110" x14ac:dyDescent="0.2">
      <c r="DA107" s="41"/>
      <c r="DB107" s="41"/>
      <c r="DC107" s="1"/>
      <c r="DD107" s="1"/>
      <c r="DE107" s="1"/>
    </row>
    <row r="108" spans="3:110" x14ac:dyDescent="0.2">
      <c r="DA108" s="41"/>
      <c r="DB108" s="41"/>
      <c r="DC108" s="1"/>
      <c r="DD108" s="1"/>
      <c r="DE108" s="1"/>
    </row>
    <row r="109" spans="3:110" x14ac:dyDescent="0.2">
      <c r="DA109" s="18"/>
      <c r="DB109" s="18"/>
      <c r="DC109" s="1"/>
      <c r="DD109" s="1"/>
      <c r="DE109" s="1"/>
    </row>
    <row r="110" spans="3:110" x14ac:dyDescent="0.2">
      <c r="DA110" s="33"/>
      <c r="DB110" s="33"/>
      <c r="DC110" s="1"/>
      <c r="DD110" s="1"/>
      <c r="DE110" s="1"/>
    </row>
    <row r="111" spans="3:110" x14ac:dyDescent="0.2">
      <c r="DC111" s="1"/>
      <c r="DD111" s="1"/>
      <c r="DE111" s="1"/>
    </row>
  </sheetData>
  <sheetProtection algorithmName="SHA-512" hashValue="waL5oKKeo2Pv4CJ4TAvMJgWMpQz9Bc31VCnZ6FDNHlaGFeFNXEwCn7dJ7vXX8mYV8u47ONaSJOxx4DmNJty3Wg==" saltValue="BfG6IKsqpF3bjMmHb+NA0w==" spinCount="100000" sheet="1" objects="1" scenarios="1" selectLockedCells="1"/>
  <dataConsolidate/>
  <mergeCells count="96">
    <mergeCell ref="H49:J50"/>
    <mergeCell ref="CR47:CT50"/>
    <mergeCell ref="D48:F48"/>
    <mergeCell ref="D49:F49"/>
    <mergeCell ref="DC92:DH92"/>
    <mergeCell ref="DD67:DG67"/>
    <mergeCell ref="DB73:DB75"/>
    <mergeCell ref="DC73:DG73"/>
    <mergeCell ref="Q57:S57"/>
    <mergeCell ref="DC68:DC70"/>
    <mergeCell ref="DD68:DG68"/>
    <mergeCell ref="D5:G5"/>
    <mergeCell ref="I5:J5"/>
    <mergeCell ref="D11:F11"/>
    <mergeCell ref="C20:K20"/>
    <mergeCell ref="C21:K21"/>
    <mergeCell ref="I12:J12"/>
    <mergeCell ref="D17:E17"/>
    <mergeCell ref="DO12:DP12"/>
    <mergeCell ref="B31:E31"/>
    <mergeCell ref="E41:F42"/>
    <mergeCell ref="C22:K22"/>
    <mergeCell ref="C23:K23"/>
    <mergeCell ref="B34:E34"/>
    <mergeCell ref="B28:E28"/>
    <mergeCell ref="B32:E32"/>
    <mergeCell ref="B33:E33"/>
    <mergeCell ref="C41:C42"/>
    <mergeCell ref="B35:E35"/>
    <mergeCell ref="B36:E36"/>
    <mergeCell ref="B37:E37"/>
    <mergeCell ref="B38:E38"/>
    <mergeCell ref="CQ34:CR34"/>
    <mergeCell ref="B39:E39"/>
    <mergeCell ref="I42:J42"/>
    <mergeCell ref="AE25:AM25"/>
    <mergeCell ref="CP42:CX43"/>
    <mergeCell ref="CP41:CX41"/>
    <mergeCell ref="H41:J41"/>
    <mergeCell ref="CU34:CW34"/>
    <mergeCell ref="BG25:BO25"/>
    <mergeCell ref="E40:F40"/>
    <mergeCell ref="B29:E29"/>
    <mergeCell ref="B30:E30"/>
    <mergeCell ref="DR14:DS14"/>
    <mergeCell ref="CL25:CM25"/>
    <mergeCell ref="DJ27:DK27"/>
    <mergeCell ref="DJ29:DK29"/>
    <mergeCell ref="CT28:CW28"/>
    <mergeCell ref="CO29:CR32"/>
    <mergeCell ref="CT30:CW30"/>
    <mergeCell ref="CU29:CW29"/>
    <mergeCell ref="CU31:CW31"/>
    <mergeCell ref="CS1:CV1"/>
    <mergeCell ref="CS2:CV2"/>
    <mergeCell ref="CQ3:CR3"/>
    <mergeCell ref="CQ7:CR7"/>
    <mergeCell ref="CQ4:CR4"/>
    <mergeCell ref="CS7:CV7"/>
    <mergeCell ref="CQ8:CR8"/>
    <mergeCell ref="CQ28:CR28"/>
    <mergeCell ref="CO25:CX25"/>
    <mergeCell ref="CP11:CX11"/>
    <mergeCell ref="CS8:CV8"/>
    <mergeCell ref="CU27:CW27"/>
    <mergeCell ref="D4:E4"/>
    <mergeCell ref="CJ38:CK38"/>
    <mergeCell ref="B19:D19"/>
    <mergeCell ref="D2:J2"/>
    <mergeCell ref="D6:J8"/>
    <mergeCell ref="B15:C15"/>
    <mergeCell ref="I13:J13"/>
    <mergeCell ref="I14:J14"/>
    <mergeCell ref="B11:C11"/>
    <mergeCell ref="B12:C12"/>
    <mergeCell ref="G11:J11"/>
    <mergeCell ref="B17:C17"/>
    <mergeCell ref="B5:C5"/>
    <mergeCell ref="B27:E27"/>
    <mergeCell ref="B25:J25"/>
    <mergeCell ref="O25:X25"/>
    <mergeCell ref="DN87:DO87"/>
    <mergeCell ref="DK87:DL87"/>
    <mergeCell ref="DC74:DD74"/>
    <mergeCell ref="DE74:DE75"/>
    <mergeCell ref="DF74:DF75"/>
    <mergeCell ref="DG74:DG75"/>
    <mergeCell ref="DH76:DH85"/>
    <mergeCell ref="DI74:DL74"/>
    <mergeCell ref="CP44:CX44"/>
    <mergeCell ref="CQ39:CR39"/>
    <mergeCell ref="CT35:CW35"/>
    <mergeCell ref="CP40:CW40"/>
    <mergeCell ref="CP35:CR38"/>
    <mergeCell ref="CU36:CW36"/>
    <mergeCell ref="CU39:CW39"/>
  </mergeCells>
  <phoneticPr fontId="0" type="noConversion"/>
  <conditionalFormatting sqref="F51">
    <cfRule type="expression" dxfId="146" priority="15">
      <formula>$D$49=$DP$17</formula>
    </cfRule>
    <cfRule type="cellIs" dxfId="145" priority="148" operator="lessThan">
      <formula>100</formula>
    </cfRule>
    <cfRule type="expression" dxfId="144" priority="149">
      <formula>IF(($I$5=$DO$5), " ", " ")</formula>
    </cfRule>
    <cfRule type="expression" dxfId="143" priority="152" stopIfTrue="1">
      <formula>IF(($I$5=$DO$5), " ", " ")</formula>
    </cfRule>
  </conditionalFormatting>
  <conditionalFormatting sqref="F28:J39">
    <cfRule type="cellIs" dxfId="142" priority="147" operator="lessThanOrEqual">
      <formula>20</formula>
    </cfRule>
  </conditionalFormatting>
  <conditionalFormatting sqref="F28:G28">
    <cfRule type="cellIs" dxfId="141" priority="145" operator="lessThanOrEqual">
      <formula>20</formula>
    </cfRule>
  </conditionalFormatting>
  <conditionalFormatting sqref="B28:E28">
    <cfRule type="expression" dxfId="140" priority="144">
      <formula>(SUM(F28:J28)&gt;0)</formula>
    </cfRule>
  </conditionalFormatting>
  <conditionalFormatting sqref="F28">
    <cfRule type="expression" dxfId="139" priority="143">
      <formula>(SUM(F28:$J28)&gt;0)</formula>
    </cfRule>
  </conditionalFormatting>
  <conditionalFormatting sqref="G28">
    <cfRule type="expression" dxfId="138" priority="142">
      <formula>(SUM(G28:$J28)&gt;0)</formula>
    </cfRule>
  </conditionalFormatting>
  <conditionalFormatting sqref="H28">
    <cfRule type="cellIs" dxfId="137" priority="141" operator="lessThanOrEqual">
      <formula>20</formula>
    </cfRule>
  </conditionalFormatting>
  <conditionalFormatting sqref="H28">
    <cfRule type="expression" dxfId="136" priority="140">
      <formula>(SUM(H28:$J28)&gt;0)</formula>
    </cfRule>
  </conditionalFormatting>
  <conditionalFormatting sqref="I28">
    <cfRule type="cellIs" dxfId="135" priority="139" operator="lessThanOrEqual">
      <formula>20</formula>
    </cfRule>
  </conditionalFormatting>
  <conditionalFormatting sqref="I28">
    <cfRule type="expression" dxfId="134" priority="138">
      <formula>(SUM(I28:$J28)&gt;0)</formula>
    </cfRule>
  </conditionalFormatting>
  <conditionalFormatting sqref="J28">
    <cfRule type="cellIs" dxfId="133" priority="137" operator="lessThanOrEqual">
      <formula>20</formula>
    </cfRule>
  </conditionalFormatting>
  <conditionalFormatting sqref="J28">
    <cfRule type="expression" dxfId="132" priority="136">
      <formula>(SUM(J28:$J28)&gt;0)</formula>
    </cfRule>
  </conditionalFormatting>
  <conditionalFormatting sqref="B29:E29">
    <cfRule type="expression" dxfId="131" priority="135">
      <formula>(SUM(F29:J29)&gt;0)</formula>
    </cfRule>
  </conditionalFormatting>
  <conditionalFormatting sqref="F29:G29">
    <cfRule type="cellIs" dxfId="130" priority="134" operator="lessThanOrEqual">
      <formula>20</formula>
    </cfRule>
  </conditionalFormatting>
  <conditionalFormatting sqref="F29">
    <cfRule type="expression" dxfId="129" priority="133">
      <formula>(SUM(F29:$J29)&gt;0)</formula>
    </cfRule>
  </conditionalFormatting>
  <conditionalFormatting sqref="G29">
    <cfRule type="expression" dxfId="128" priority="132">
      <formula>(SUM(G29:$J29)&gt;0)</formula>
    </cfRule>
  </conditionalFormatting>
  <conditionalFormatting sqref="H29">
    <cfRule type="cellIs" dxfId="127" priority="131" operator="lessThanOrEqual">
      <formula>20</formula>
    </cfRule>
  </conditionalFormatting>
  <conditionalFormatting sqref="H29">
    <cfRule type="expression" dxfId="126" priority="130">
      <formula>(SUM(H29:$J29)&gt;0)</formula>
    </cfRule>
  </conditionalFormatting>
  <conditionalFormatting sqref="I29">
    <cfRule type="cellIs" dxfId="125" priority="129" operator="lessThanOrEqual">
      <formula>20</formula>
    </cfRule>
  </conditionalFormatting>
  <conditionalFormatting sqref="I29">
    <cfRule type="expression" dxfId="124" priority="128">
      <formula>(SUM(I29:$J29)&gt;0)</formula>
    </cfRule>
  </conditionalFormatting>
  <conditionalFormatting sqref="J29">
    <cfRule type="cellIs" dxfId="123" priority="127" operator="lessThanOrEqual">
      <formula>20</formula>
    </cfRule>
  </conditionalFormatting>
  <conditionalFormatting sqref="J29">
    <cfRule type="expression" dxfId="122" priority="126">
      <formula>(SUM(J29:$J29)&gt;0)</formula>
    </cfRule>
  </conditionalFormatting>
  <conditionalFormatting sqref="B30:E30">
    <cfRule type="expression" dxfId="121" priority="125">
      <formula>(SUM(F30:J30)&gt;0)</formula>
    </cfRule>
  </conditionalFormatting>
  <conditionalFormatting sqref="F30:G30">
    <cfRule type="cellIs" dxfId="120" priority="124" operator="lessThanOrEqual">
      <formula>20</formula>
    </cfRule>
  </conditionalFormatting>
  <conditionalFormatting sqref="F30">
    <cfRule type="expression" dxfId="119" priority="123">
      <formula>(SUM(F30:$J30)&gt;0)</formula>
    </cfRule>
  </conditionalFormatting>
  <conditionalFormatting sqref="G30">
    <cfRule type="expression" dxfId="118" priority="122">
      <formula>(SUM(G30:$J30)&gt;0)</formula>
    </cfRule>
  </conditionalFormatting>
  <conditionalFormatting sqref="H30">
    <cfRule type="cellIs" dxfId="117" priority="121" operator="lessThanOrEqual">
      <formula>20</formula>
    </cfRule>
  </conditionalFormatting>
  <conditionalFormatting sqref="H30">
    <cfRule type="expression" dxfId="116" priority="120">
      <formula>(SUM(H30:$J30)&gt;0)</formula>
    </cfRule>
  </conditionalFormatting>
  <conditionalFormatting sqref="I30">
    <cfRule type="cellIs" dxfId="115" priority="119" operator="lessThanOrEqual">
      <formula>20</formula>
    </cfRule>
  </conditionalFormatting>
  <conditionalFormatting sqref="I30">
    <cfRule type="expression" dxfId="114" priority="118">
      <formula>(SUM(I30:$J30)&gt;0)</formula>
    </cfRule>
  </conditionalFormatting>
  <conditionalFormatting sqref="J30">
    <cfRule type="cellIs" dxfId="113" priority="117" operator="lessThanOrEqual">
      <formula>20</formula>
    </cfRule>
  </conditionalFormatting>
  <conditionalFormatting sqref="J30">
    <cfRule type="expression" dxfId="112" priority="116">
      <formula>(SUM(J30:$J30)&gt;0)</formula>
    </cfRule>
  </conditionalFormatting>
  <conditionalFormatting sqref="B31:E31">
    <cfRule type="expression" dxfId="111" priority="115">
      <formula>(SUM(F31:J31)&gt;0)</formula>
    </cfRule>
  </conditionalFormatting>
  <conditionalFormatting sqref="F31:G31">
    <cfRule type="cellIs" dxfId="110" priority="114" operator="lessThanOrEqual">
      <formula>20</formula>
    </cfRule>
  </conditionalFormatting>
  <conditionalFormatting sqref="F31">
    <cfRule type="expression" dxfId="109" priority="113">
      <formula>(SUM(F31:$J31)&gt;0)</formula>
    </cfRule>
  </conditionalFormatting>
  <conditionalFormatting sqref="G31">
    <cfRule type="expression" dxfId="108" priority="112">
      <formula>(SUM(G31:$J31)&gt;0)</formula>
    </cfRule>
  </conditionalFormatting>
  <conditionalFormatting sqref="H31">
    <cfRule type="cellIs" dxfId="107" priority="111" operator="lessThanOrEqual">
      <formula>20</formula>
    </cfRule>
  </conditionalFormatting>
  <conditionalFormatting sqref="H31">
    <cfRule type="expression" dxfId="106" priority="110">
      <formula>(SUM(H31:$J31)&gt;0)</formula>
    </cfRule>
  </conditionalFormatting>
  <conditionalFormatting sqref="I31">
    <cfRule type="cellIs" dxfId="105" priority="109" operator="lessThanOrEqual">
      <formula>20</formula>
    </cfRule>
  </conditionalFormatting>
  <conditionalFormatting sqref="I31">
    <cfRule type="expression" dxfId="104" priority="108">
      <formula>(SUM(I31:$J31)&gt;0)</formula>
    </cfRule>
  </conditionalFormatting>
  <conditionalFormatting sqref="J31">
    <cfRule type="cellIs" dxfId="103" priority="107" operator="lessThanOrEqual">
      <formula>20</formula>
    </cfRule>
  </conditionalFormatting>
  <conditionalFormatting sqref="J31">
    <cfRule type="expression" dxfId="102" priority="106">
      <formula>(SUM(J31:$J31)&gt;0)</formula>
    </cfRule>
  </conditionalFormatting>
  <conditionalFormatting sqref="B32:E32">
    <cfRule type="expression" dxfId="101" priority="105">
      <formula>(SUM(F32:J32)&gt;0)</formula>
    </cfRule>
  </conditionalFormatting>
  <conditionalFormatting sqref="F32:G32">
    <cfRule type="cellIs" dxfId="100" priority="104" operator="lessThanOrEqual">
      <formula>20</formula>
    </cfRule>
  </conditionalFormatting>
  <conditionalFormatting sqref="F32">
    <cfRule type="expression" dxfId="99" priority="103">
      <formula>(SUM(F32:$J32)&gt;0)</formula>
    </cfRule>
  </conditionalFormatting>
  <conditionalFormatting sqref="G32">
    <cfRule type="expression" dxfId="98" priority="102">
      <formula>(SUM(G32:$J32)&gt;0)</formula>
    </cfRule>
  </conditionalFormatting>
  <conditionalFormatting sqref="H32">
    <cfRule type="cellIs" dxfId="97" priority="101" operator="lessThanOrEqual">
      <formula>20</formula>
    </cfRule>
  </conditionalFormatting>
  <conditionalFormatting sqref="H32">
    <cfRule type="expression" dxfId="96" priority="100">
      <formula>(SUM(H32:$J32)&gt;0)</formula>
    </cfRule>
  </conditionalFormatting>
  <conditionalFormatting sqref="I32">
    <cfRule type="cellIs" dxfId="95" priority="99" operator="lessThanOrEqual">
      <formula>20</formula>
    </cfRule>
  </conditionalFormatting>
  <conditionalFormatting sqref="I32">
    <cfRule type="expression" dxfId="94" priority="98">
      <formula>(SUM(I32:$J32)&gt;0)</formula>
    </cfRule>
  </conditionalFormatting>
  <conditionalFormatting sqref="J32">
    <cfRule type="cellIs" dxfId="93" priority="97" operator="lessThanOrEqual">
      <formula>20</formula>
    </cfRule>
  </conditionalFormatting>
  <conditionalFormatting sqref="J32">
    <cfRule type="expression" dxfId="92" priority="96">
      <formula>(SUM(J32:$J32)&gt;0)</formula>
    </cfRule>
  </conditionalFormatting>
  <conditionalFormatting sqref="B33:E33">
    <cfRule type="expression" dxfId="91" priority="95">
      <formula>(SUM(F33:J33)&gt;0)</formula>
    </cfRule>
  </conditionalFormatting>
  <conditionalFormatting sqref="F33:G33">
    <cfRule type="cellIs" dxfId="90" priority="94" operator="lessThanOrEqual">
      <formula>20</formula>
    </cfRule>
  </conditionalFormatting>
  <conditionalFormatting sqref="F33">
    <cfRule type="expression" dxfId="89" priority="93">
      <formula>(SUM(F33:$J33)&gt;0)</formula>
    </cfRule>
  </conditionalFormatting>
  <conditionalFormatting sqref="G33">
    <cfRule type="expression" dxfId="88" priority="92">
      <formula>(SUM(G33:$J33)&gt;0)</formula>
    </cfRule>
  </conditionalFormatting>
  <conditionalFormatting sqref="H33">
    <cfRule type="cellIs" dxfId="87" priority="91" operator="lessThanOrEqual">
      <formula>20</formula>
    </cfRule>
  </conditionalFormatting>
  <conditionalFormatting sqref="H33">
    <cfRule type="expression" dxfId="86" priority="90">
      <formula>(SUM(H33:$J33)&gt;0)</formula>
    </cfRule>
  </conditionalFormatting>
  <conditionalFormatting sqref="I33">
    <cfRule type="cellIs" dxfId="85" priority="89" operator="lessThanOrEqual">
      <formula>20</formula>
    </cfRule>
  </conditionalFormatting>
  <conditionalFormatting sqref="I33">
    <cfRule type="expression" dxfId="84" priority="88">
      <formula>(SUM(I33:$J33)&gt;0)</formula>
    </cfRule>
  </conditionalFormatting>
  <conditionalFormatting sqref="J33">
    <cfRule type="cellIs" dxfId="83" priority="87" operator="lessThanOrEqual">
      <formula>20</formula>
    </cfRule>
  </conditionalFormatting>
  <conditionalFormatting sqref="J33">
    <cfRule type="expression" dxfId="82" priority="86">
      <formula>(SUM(J33:$J33)&gt;0)</formula>
    </cfRule>
  </conditionalFormatting>
  <conditionalFormatting sqref="B34:E34">
    <cfRule type="expression" dxfId="81" priority="85">
      <formula>(SUM(F34:J34)&gt;0)</formula>
    </cfRule>
  </conditionalFormatting>
  <conditionalFormatting sqref="F34:G34">
    <cfRule type="cellIs" dxfId="80" priority="84" operator="lessThanOrEqual">
      <formula>20</formula>
    </cfRule>
  </conditionalFormatting>
  <conditionalFormatting sqref="F34">
    <cfRule type="expression" dxfId="79" priority="83">
      <formula>(SUM(F34:$J34)&gt;0)</formula>
    </cfRule>
  </conditionalFormatting>
  <conditionalFormatting sqref="G34">
    <cfRule type="expression" dxfId="78" priority="82">
      <formula>(SUM(G34:$J34)&gt;0)</formula>
    </cfRule>
  </conditionalFormatting>
  <conditionalFormatting sqref="H34">
    <cfRule type="cellIs" dxfId="77" priority="81" operator="lessThanOrEqual">
      <formula>20</formula>
    </cfRule>
  </conditionalFormatting>
  <conditionalFormatting sqref="H34">
    <cfRule type="expression" dxfId="76" priority="80">
      <formula>(SUM(H34:$J34)&gt;0)</formula>
    </cfRule>
  </conditionalFormatting>
  <conditionalFormatting sqref="I34">
    <cfRule type="cellIs" dxfId="75" priority="79" operator="lessThanOrEqual">
      <formula>20</formula>
    </cfRule>
  </conditionalFormatting>
  <conditionalFormatting sqref="I34">
    <cfRule type="expression" dxfId="74" priority="78">
      <formula>(SUM(I34:$J34)&gt;0)</formula>
    </cfRule>
  </conditionalFormatting>
  <conditionalFormatting sqref="J34">
    <cfRule type="cellIs" dxfId="73" priority="77" operator="lessThanOrEqual">
      <formula>20</formula>
    </cfRule>
  </conditionalFormatting>
  <conditionalFormatting sqref="J34">
    <cfRule type="expression" dxfId="72" priority="76">
      <formula>(SUM(J34:$J34)&gt;0)</formula>
    </cfRule>
  </conditionalFormatting>
  <conditionalFormatting sqref="B35:E35">
    <cfRule type="expression" dxfId="71" priority="75">
      <formula>(SUM(F35:J35)&gt;0)</formula>
    </cfRule>
  </conditionalFormatting>
  <conditionalFormatting sqref="F35:G35">
    <cfRule type="cellIs" dxfId="70" priority="74" operator="lessThanOrEqual">
      <formula>20</formula>
    </cfRule>
  </conditionalFormatting>
  <conditionalFormatting sqref="F35">
    <cfRule type="expression" dxfId="69" priority="73">
      <formula>(SUM(F35:$J35)&gt;0)</formula>
    </cfRule>
  </conditionalFormatting>
  <conditionalFormatting sqref="G35">
    <cfRule type="expression" dxfId="68" priority="72">
      <formula>(SUM(G35:$J35)&gt;0)</formula>
    </cfRule>
  </conditionalFormatting>
  <conditionalFormatting sqref="H35">
    <cfRule type="cellIs" dxfId="67" priority="71" operator="lessThanOrEqual">
      <formula>20</formula>
    </cfRule>
  </conditionalFormatting>
  <conditionalFormatting sqref="H35">
    <cfRule type="expression" dxfId="66" priority="70">
      <formula>(SUM(H35:$J35)&gt;0)</formula>
    </cfRule>
  </conditionalFormatting>
  <conditionalFormatting sqref="I35">
    <cfRule type="cellIs" dxfId="65" priority="69" operator="lessThanOrEqual">
      <formula>20</formula>
    </cfRule>
  </conditionalFormatting>
  <conditionalFormatting sqref="I35">
    <cfRule type="expression" dxfId="64" priority="68">
      <formula>(SUM(I35:$J35)&gt;0)</formula>
    </cfRule>
  </conditionalFormatting>
  <conditionalFormatting sqref="J35">
    <cfRule type="cellIs" dxfId="63" priority="67" operator="lessThanOrEqual">
      <formula>20</formula>
    </cfRule>
  </conditionalFormatting>
  <conditionalFormatting sqref="J35">
    <cfRule type="expression" dxfId="62" priority="66">
      <formula>(SUM(J35:$J35)&gt;0)</formula>
    </cfRule>
  </conditionalFormatting>
  <conditionalFormatting sqref="B36:E36">
    <cfRule type="expression" dxfId="61" priority="65">
      <formula>(SUM(F36:J36)&gt;0)</formula>
    </cfRule>
  </conditionalFormatting>
  <conditionalFormatting sqref="F36:G36">
    <cfRule type="cellIs" dxfId="60" priority="64" operator="lessThanOrEqual">
      <formula>20</formula>
    </cfRule>
  </conditionalFormatting>
  <conditionalFormatting sqref="F36">
    <cfRule type="expression" dxfId="59" priority="63">
      <formula>(SUM(F36:$J36)&gt;0)</formula>
    </cfRule>
  </conditionalFormatting>
  <conditionalFormatting sqref="G36">
    <cfRule type="expression" dxfId="58" priority="62">
      <formula>(SUM(G36:$J36)&gt;0)</formula>
    </cfRule>
  </conditionalFormatting>
  <conditionalFormatting sqref="H36">
    <cfRule type="cellIs" dxfId="57" priority="61" operator="lessThanOrEqual">
      <formula>20</formula>
    </cfRule>
  </conditionalFormatting>
  <conditionalFormatting sqref="H36">
    <cfRule type="expression" dxfId="56" priority="60">
      <formula>(SUM(H36:$J36)&gt;0)</formula>
    </cfRule>
  </conditionalFormatting>
  <conditionalFormatting sqref="I36">
    <cfRule type="cellIs" dxfId="55" priority="59" operator="lessThanOrEqual">
      <formula>20</formula>
    </cfRule>
  </conditionalFormatting>
  <conditionalFormatting sqref="I36">
    <cfRule type="expression" dxfId="54" priority="58">
      <formula>(SUM(I36:$J36)&gt;0)</formula>
    </cfRule>
  </conditionalFormatting>
  <conditionalFormatting sqref="J36">
    <cfRule type="cellIs" dxfId="53" priority="57" operator="lessThanOrEqual">
      <formula>20</formula>
    </cfRule>
  </conditionalFormatting>
  <conditionalFormatting sqref="J36">
    <cfRule type="expression" dxfId="52" priority="56">
      <formula>(SUM(J36:$J36)&gt;0)</formula>
    </cfRule>
  </conditionalFormatting>
  <conditionalFormatting sqref="B37:E37">
    <cfRule type="expression" dxfId="51" priority="55">
      <formula>(SUM(F37:J37)&gt;0)</formula>
    </cfRule>
  </conditionalFormatting>
  <conditionalFormatting sqref="F37:G37">
    <cfRule type="cellIs" dxfId="50" priority="54" operator="lessThanOrEqual">
      <formula>20</formula>
    </cfRule>
  </conditionalFormatting>
  <conditionalFormatting sqref="F37">
    <cfRule type="expression" dxfId="49" priority="53">
      <formula>(SUM(F37:$J37)&gt;0)</formula>
    </cfRule>
  </conditionalFormatting>
  <conditionalFormatting sqref="G37">
    <cfRule type="expression" dxfId="48" priority="52">
      <formula>(SUM(G37:$J37)&gt;0)</formula>
    </cfRule>
  </conditionalFormatting>
  <conditionalFormatting sqref="H37">
    <cfRule type="cellIs" dxfId="47" priority="51" operator="lessThanOrEqual">
      <formula>20</formula>
    </cfRule>
  </conditionalFormatting>
  <conditionalFormatting sqref="H37">
    <cfRule type="expression" dxfId="46" priority="50">
      <formula>(SUM(H37:$J37)&gt;0)</formula>
    </cfRule>
  </conditionalFormatting>
  <conditionalFormatting sqref="I37">
    <cfRule type="cellIs" dxfId="45" priority="49" operator="lessThanOrEqual">
      <formula>20</formula>
    </cfRule>
  </conditionalFormatting>
  <conditionalFormatting sqref="I37">
    <cfRule type="expression" dxfId="44" priority="48">
      <formula>(SUM(I37:$J37)&gt;0)</formula>
    </cfRule>
  </conditionalFormatting>
  <conditionalFormatting sqref="J37">
    <cfRule type="cellIs" dxfId="43" priority="47" operator="lessThanOrEqual">
      <formula>20</formula>
    </cfRule>
  </conditionalFormatting>
  <conditionalFormatting sqref="J37">
    <cfRule type="expression" dxfId="42" priority="46">
      <formula>(SUM(J37:$J37)&gt;0)</formula>
    </cfRule>
  </conditionalFormatting>
  <conditionalFormatting sqref="B38:E38">
    <cfRule type="expression" dxfId="41" priority="45">
      <formula>(SUM(F38:J38)&gt;0)</formula>
    </cfRule>
  </conditionalFormatting>
  <conditionalFormatting sqref="F38:G38">
    <cfRule type="cellIs" dxfId="40" priority="44" operator="lessThanOrEqual">
      <formula>20</formula>
    </cfRule>
  </conditionalFormatting>
  <conditionalFormatting sqref="F38">
    <cfRule type="expression" dxfId="39" priority="43">
      <formula>(SUM(F38:$J38)&gt;0)</formula>
    </cfRule>
  </conditionalFormatting>
  <conditionalFormatting sqref="G38">
    <cfRule type="expression" dxfId="38" priority="42">
      <formula>(SUM(G38:$J38)&gt;0)</formula>
    </cfRule>
  </conditionalFormatting>
  <conditionalFormatting sqref="H38">
    <cfRule type="cellIs" dxfId="37" priority="41" operator="lessThanOrEqual">
      <formula>20</formula>
    </cfRule>
  </conditionalFormatting>
  <conditionalFormatting sqref="H38">
    <cfRule type="expression" dxfId="36" priority="40">
      <formula>(SUM(H38:$J38)&gt;0)</formula>
    </cfRule>
  </conditionalFormatting>
  <conditionalFormatting sqref="I38">
    <cfRule type="cellIs" dxfId="35" priority="39" operator="lessThanOrEqual">
      <formula>20</formula>
    </cfRule>
  </conditionalFormatting>
  <conditionalFormatting sqref="I38">
    <cfRule type="expression" dxfId="34" priority="38">
      <formula>(SUM(I38:$J38)&gt;0)</formula>
    </cfRule>
  </conditionalFormatting>
  <conditionalFormatting sqref="J38">
    <cfRule type="cellIs" dxfId="33" priority="37" operator="lessThanOrEqual">
      <formula>20</formula>
    </cfRule>
  </conditionalFormatting>
  <conditionalFormatting sqref="J38">
    <cfRule type="expression" dxfId="32" priority="36">
      <formula>(SUM(J38:$J38)&gt;0)</formula>
    </cfRule>
  </conditionalFormatting>
  <conditionalFormatting sqref="B39:E39">
    <cfRule type="expression" dxfId="31" priority="35">
      <formula>(SUM(F39:J39)&gt;0)</formula>
    </cfRule>
  </conditionalFormatting>
  <conditionalFormatting sqref="F39:G39">
    <cfRule type="cellIs" dxfId="30" priority="34" operator="lessThanOrEqual">
      <formula>20</formula>
    </cfRule>
  </conditionalFormatting>
  <conditionalFormatting sqref="F39">
    <cfRule type="expression" dxfId="29" priority="33">
      <formula>(SUM(F39:$J39)&gt;0)</formula>
    </cfRule>
  </conditionalFormatting>
  <conditionalFormatting sqref="G39">
    <cfRule type="expression" dxfId="28" priority="32">
      <formula>(SUM(G39:$J39)&gt;0)</formula>
    </cfRule>
  </conditionalFormatting>
  <conditionalFormatting sqref="H39">
    <cfRule type="cellIs" dxfId="27" priority="31" operator="lessThanOrEqual">
      <formula>20</formula>
    </cfRule>
  </conditionalFormatting>
  <conditionalFormatting sqref="H39">
    <cfRule type="expression" dxfId="26" priority="30">
      <formula>(SUM(H39:$J39)&gt;0)</formula>
    </cfRule>
  </conditionalFormatting>
  <conditionalFormatting sqref="I39">
    <cfRule type="cellIs" dxfId="25" priority="29" operator="lessThanOrEqual">
      <formula>20</formula>
    </cfRule>
  </conditionalFormatting>
  <conditionalFormatting sqref="I39">
    <cfRule type="expression" dxfId="24" priority="28">
      <formula>(SUM(I39:$J39)&gt;0)</formula>
    </cfRule>
  </conditionalFormatting>
  <conditionalFormatting sqref="J39">
    <cfRule type="cellIs" dxfId="23" priority="27" operator="lessThanOrEqual">
      <formula>20</formula>
    </cfRule>
  </conditionalFormatting>
  <conditionalFormatting sqref="J39">
    <cfRule type="expression" dxfId="22" priority="26">
      <formula>(SUM(J39:$J39)&gt;0)</formula>
    </cfRule>
  </conditionalFormatting>
  <conditionalFormatting sqref="H52">
    <cfRule type="expression" dxfId="21" priority="25">
      <formula>$ED$12=TRUE</formula>
    </cfRule>
  </conditionalFormatting>
  <conditionalFormatting sqref="H44">
    <cfRule type="expression" dxfId="20" priority="24">
      <formula>$ED$12=TRUE</formula>
    </cfRule>
  </conditionalFormatting>
  <conditionalFormatting sqref="I52">
    <cfRule type="expression" dxfId="19" priority="13">
      <formula>$D$49=$DP$13</formula>
    </cfRule>
    <cfRule type="expression" dxfId="18" priority="19">
      <formula>$D$49=$DP$17</formula>
    </cfRule>
    <cfRule type="expression" dxfId="17" priority="20">
      <formula>$D$49=$DP$15</formula>
    </cfRule>
    <cfRule type="expression" dxfId="16" priority="23">
      <formula>$D$49=$DP$14</formula>
    </cfRule>
  </conditionalFormatting>
  <conditionalFormatting sqref="E44">
    <cfRule type="expression" dxfId="15" priority="22">
      <formula>$D$49=$DP$14</formula>
    </cfRule>
  </conditionalFormatting>
  <conditionalFormatting sqref="C44">
    <cfRule type="expression" dxfId="14" priority="21">
      <formula>$D$49=$DP$15</formula>
    </cfRule>
  </conditionalFormatting>
  <conditionalFormatting sqref="D48:F49">
    <cfRule type="expression" dxfId="13" priority="14">
      <formula>$ED$12=TRUE</formula>
    </cfRule>
    <cfRule type="expression" dxfId="12" priority="16">
      <formula>$D$49=$DP$17</formula>
    </cfRule>
    <cfRule type="expression" dxfId="11" priority="17">
      <formula>$D$49=$DP$15</formula>
    </cfRule>
    <cfRule type="expression" dxfId="10" priority="18">
      <formula>$D$49=$DU$15</formula>
    </cfRule>
  </conditionalFormatting>
  <conditionalFormatting sqref="F27">
    <cfRule type="expression" dxfId="9" priority="7">
      <formula>(SUM($F$28:$F$39)&gt;0)</formula>
    </cfRule>
    <cfRule type="expression" dxfId="8" priority="11">
      <formula>(SUM($F$28:$J$39)&gt;0)</formula>
    </cfRule>
    <cfRule type="expression" dxfId="7" priority="12">
      <formula>"sum($F$28:$F$39)&gt;0"</formula>
    </cfRule>
  </conditionalFormatting>
  <conditionalFormatting sqref="G27">
    <cfRule type="expression" dxfId="6" priority="6">
      <formula>(SUM($G$28:$G$39)&gt;0)</formula>
    </cfRule>
    <cfRule type="expression" dxfId="5" priority="10">
      <formula>(SUM($G$28:$J$39)&gt;0)</formula>
    </cfRule>
  </conditionalFormatting>
  <conditionalFormatting sqref="H27">
    <cfRule type="expression" dxfId="4" priority="4">
      <formula>(SUM($H$28:$H$39)&gt;0)</formula>
    </cfRule>
    <cfRule type="expression" dxfId="3" priority="8">
      <formula>(SUM($H$28:$J$39)&gt;0)</formula>
    </cfRule>
  </conditionalFormatting>
  <conditionalFormatting sqref="I27">
    <cfRule type="expression" dxfId="2" priority="2">
      <formula>(SUM($I$28:$I$39)&gt;0)</formula>
    </cfRule>
    <cfRule type="expression" dxfId="1" priority="3">
      <formula>(SUM($I$28:$J$39)&gt;0)</formula>
    </cfRule>
  </conditionalFormatting>
  <conditionalFormatting sqref="J27">
    <cfRule type="expression" dxfId="0" priority="1">
      <formula>(SUM($J$28:$J$39)&gt;0)</formula>
    </cfRule>
  </conditionalFormatting>
  <dataValidations xWindow="318" yWindow="508" count="14">
    <dataValidation type="list" allowBlank="1" showInputMessage="1" showErrorMessage="1" errorTitle="Invalid Entry!" error="Need to select the soil test method from the pull down menu." prompt="Select the soil test method used from the pull down menu (Bray P1 or Mehlich-3 ICP)_x000a_" sqref="F13" xr:uid="{00000000-0002-0000-0100-000000000000}">
      <formula1>$DD$5:$DD$6</formula1>
    </dataValidation>
    <dataValidation type="list" allowBlank="1" showInputMessage="1" showErrorMessage="1" errorTitle="Invalid Entry" error="Need to select the soil test unit of measure from the pull down menu." prompt="Select the unit of measure from the pull down menu (ppm or lbs/ac)" sqref="E14" xr:uid="{00000000-0002-0000-0100-000001000000}">
      <formula1>$DC$5:$DC$6</formula1>
    </dataValidation>
    <dataValidation type="list" allowBlank="1" showInputMessage="1" showErrorMessage="1" sqref="E15:E16" xr:uid="{00000000-0002-0000-0100-000002000000}">
      <formula1>$DC$7</formula1>
    </dataValidation>
    <dataValidation type="list" allowBlank="1" showInputMessage="1" showErrorMessage="1" errorTitle="Invalid Entry!" error="Need to select the soil test unit of measure from the pull down menu." prompt="Select the unit of measure from the pull down menu (ppm or lbs/ac)" sqref="E13" xr:uid="{00000000-0002-0000-0100-000003000000}">
      <formula1>$DC$5:$DC$6</formula1>
    </dataValidation>
    <dataValidation type="list" allowBlank="1" showInputMessage="1" showErrorMessage="1" error="Need to select from the pull down menu." prompt="Select the method and timing of manure incorporation_x000a_" sqref="CS8:CV8" xr:uid="{00000000-0002-0000-0100-000004000000}">
      <formula1>$DL$68:$DL$71</formula1>
    </dataValidation>
    <dataValidation type="date" operator="greaterThanOrEqual" showInputMessage="1" showErrorMessage="1" errorTitle="Input Error for Date." error="Enter Date in mm/dd/yyyy or dd-MMM-yy format. Must be after 1/1/2015." promptTitle="Date of Manure Application" prompt="Enter date using mm/dd/yy or dd-mmm-yy format." sqref="D4:E4" xr:uid="{00000000-0002-0000-0100-000005000000}">
      <formula1>42005</formula1>
    </dataValidation>
    <dataValidation type="date" operator="lessThan" allowBlank="1" showErrorMessage="1" errorTitle="Input Error" error="Soil Test date must occur before the Date of Manure Application. Use mm/dd/yyyy or dd-MMM-yy format." prompt="Enter date of soil test." sqref="D17:E17" xr:uid="{00000000-0002-0000-0100-000006000000}">
      <formula1>D4</formula1>
    </dataValidation>
    <dataValidation type="list" allowBlank="1" showInputMessage="1" showErrorMessage="1" prompt="Select type of manure to be applied. Liquid manure, solid manure (non-poultry), or solid poultry manure." sqref="I5:J5" xr:uid="{00000000-0002-0000-0100-000007000000}">
      <formula1>$DO$5:$DO$7</formula1>
    </dataValidation>
    <dataValidation type="decimal" allowBlank="1" showInputMessage="1" showErrorMessage="1" error="Enter Corn Silage Yield Goal in tons/acre (at 35% Dry matter)" sqref="F32:J33" xr:uid="{00000000-0002-0000-0100-000008000000}">
      <formula1>0</formula1>
      <formula2>40</formula2>
    </dataValidation>
    <dataValidation type="decimal" allowBlank="1" showErrorMessage="1" error="Enter Corn Yield Goal in bu/acre" sqref="F28:J31" xr:uid="{00000000-0002-0000-0100-000009000000}">
      <formula1>0</formula1>
      <formula2>300</formula2>
    </dataValidation>
    <dataValidation type="decimal" allowBlank="1" showInputMessage="1" showErrorMessage="1" error="Enter Soybean Yield Goal in bu/acre" sqref="F34:J35" xr:uid="{00000000-0002-0000-0100-00000A000000}">
      <formula1>0</formula1>
      <formula2>120</formula2>
    </dataValidation>
    <dataValidation type="decimal" allowBlank="1" showInputMessage="1" showErrorMessage="1" error="Enter Wheat Yield Goal in bu/acre" sqref="F36:J37" xr:uid="{00000000-0002-0000-0100-00000B000000}">
      <formula1>0</formula1>
      <formula2>180</formula2>
    </dataValidation>
    <dataValidation type="decimal" allowBlank="1" showInputMessage="1" showErrorMessage="1" error="Enter Alfalfa Forage Yield Goal in tons/acre (at 100% dry matter)" sqref="F38:J38" xr:uid="{00000000-0002-0000-0100-00000C000000}">
      <formula1>0</formula1>
      <formula2>18</formula2>
    </dataValidation>
    <dataValidation type="decimal" allowBlank="1" showInputMessage="1" showErrorMessage="1" error="Enter Grass Forage (summer annual or cool season) Yield Goal in tons/acre (at 100% dry matter)" sqref="F39:J39" xr:uid="{00000000-0002-0000-0100-00000D000000}">
      <formula1>0</formula1>
      <formula2>20</formula2>
    </dataValidation>
  </dataValidations>
  <printOptions horizontalCentered="1"/>
  <pageMargins left="0.25" right="0.2" top="0.64312499999999995" bottom="0.5" header="0.3" footer="0.3"/>
  <pageSetup scale="49" orientation="portrait" r:id="rId1"/>
  <headerFooter alignWithMargins="0">
    <oddHeader xml:space="preserve">&amp;L&amp;14ODA Fertility Managment Tool 
Version 5.0 (AUG 2020) - All Manure Types&amp;K000000
</oddHeader>
  </headerFooter>
  <rowBreaks count="1" manualBreakCount="1">
    <brk id="64" max="16383" man="1"/>
  </rowBreaks>
  <ignoredErrors>
    <ignoredError sqref="DC27:DD27 I13:I14 G13:H13 G14:H14 DD70:DG70" unlockedFormula="1"/>
    <ignoredError sqref="DO28:DO30 DM81:DM83"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80AE-39EA-4388-8672-2A1A0D7D0DE1}">
  <dimension ref="A1:K44"/>
  <sheetViews>
    <sheetView view="pageBreakPreview" zoomScale="90" zoomScaleNormal="100" zoomScaleSheetLayoutView="90" workbookViewId="0">
      <selection activeCell="F14" sqref="F14"/>
    </sheetView>
  </sheetViews>
  <sheetFormatPr defaultColWidth="9.140625" defaultRowHeight="12.75" x14ac:dyDescent="0.2"/>
  <cols>
    <col min="1" max="1" width="2.7109375" style="557" customWidth="1"/>
    <col min="2" max="2" width="4.140625" style="557" customWidth="1"/>
    <col min="3" max="3" width="23.5703125" style="557" customWidth="1"/>
    <col min="4" max="4" width="9.7109375" style="557" customWidth="1"/>
    <col min="5" max="5" width="10" style="557" customWidth="1"/>
    <col min="6" max="6" width="14" style="557" customWidth="1"/>
    <col min="7" max="7" width="9.85546875" style="557" customWidth="1"/>
    <col min="8" max="8" width="11.28515625" style="557" customWidth="1"/>
    <col min="9" max="9" width="9.85546875" style="557" customWidth="1"/>
    <col min="10" max="10" width="5.85546875" style="557" customWidth="1"/>
    <col min="11" max="11" width="8.42578125" style="557" customWidth="1"/>
    <col min="12" max="16384" width="9.140625" style="557"/>
  </cols>
  <sheetData>
    <row r="1" spans="1:11" ht="15" thickBot="1" x14ac:dyDescent="0.25">
      <c r="A1" s="2"/>
      <c r="B1" s="2"/>
      <c r="C1" s="2"/>
      <c r="D1" s="779" t="s">
        <v>251</v>
      </c>
      <c r="E1" s="779"/>
      <c r="F1" s="779"/>
      <c r="G1" s="522"/>
      <c r="H1" s="522"/>
      <c r="I1" s="522"/>
      <c r="J1" s="2"/>
    </row>
    <row r="2" spans="1:11" x14ac:dyDescent="0.2">
      <c r="A2" s="2"/>
      <c r="B2" s="2"/>
      <c r="C2" s="2"/>
      <c r="D2" s="776" t="s">
        <v>58</v>
      </c>
      <c r="E2" s="777"/>
      <c r="F2" s="778"/>
      <c r="G2" s="523"/>
      <c r="H2" s="523"/>
      <c r="I2" s="523"/>
      <c r="J2" s="524"/>
      <c r="K2" s="559"/>
    </row>
    <row r="3" spans="1:11" ht="20.25" customHeight="1" thickBot="1" x14ac:dyDescent="0.25">
      <c r="A3" s="2"/>
      <c r="B3" s="2"/>
      <c r="C3" s="2"/>
      <c r="D3" s="525" t="s">
        <v>52</v>
      </c>
      <c r="E3" s="563" t="s">
        <v>93</v>
      </c>
      <c r="F3" s="564" t="s">
        <v>95</v>
      </c>
      <c r="G3" s="523"/>
      <c r="H3" s="523"/>
      <c r="I3" s="523"/>
      <c r="J3" s="524"/>
      <c r="K3" s="559"/>
    </row>
    <row r="4" spans="1:11" ht="27" customHeight="1" x14ac:dyDescent="0.2">
      <c r="A4" s="2"/>
      <c r="B4" s="2"/>
      <c r="C4" s="526" t="s">
        <v>242</v>
      </c>
      <c r="D4" s="527">
        <f>'Fertility Management Tool'!H44</f>
        <v>0</v>
      </c>
      <c r="E4" s="528">
        <f>'Fertility Management Tool'!I44</f>
        <v>0</v>
      </c>
      <c r="F4" s="529">
        <f>'Fertility Management Tool'!J44</f>
        <v>0</v>
      </c>
      <c r="G4" s="523"/>
      <c r="H4" s="523"/>
      <c r="I4" s="523"/>
      <c r="J4" s="524"/>
      <c r="K4" s="559"/>
    </row>
    <row r="5" spans="1:11" ht="31.5" customHeight="1" thickBot="1" x14ac:dyDescent="0.25">
      <c r="A5" s="2"/>
      <c r="B5" s="2"/>
      <c r="C5" s="530" t="s">
        <v>245</v>
      </c>
      <c r="D5" s="531">
        <f>'Fertility Management Tool'!H52</f>
        <v>0</v>
      </c>
      <c r="E5" s="532">
        <f>'Fertility Management Tool'!I52</f>
        <v>0</v>
      </c>
      <c r="F5" s="533">
        <f>'Fertility Management Tool'!J52</f>
        <v>0</v>
      </c>
      <c r="G5" s="523"/>
      <c r="H5" s="523"/>
      <c r="I5" s="523"/>
      <c r="J5" s="524"/>
      <c r="K5" s="559"/>
    </row>
    <row r="6" spans="1:11" ht="12" customHeight="1" thickBot="1" x14ac:dyDescent="0.25">
      <c r="A6" s="2"/>
      <c r="B6" s="2"/>
      <c r="C6" s="87"/>
      <c r="D6" s="547"/>
      <c r="E6" s="547"/>
      <c r="F6" s="547"/>
      <c r="G6" s="523"/>
      <c r="H6" s="523"/>
      <c r="I6" s="523"/>
      <c r="J6" s="524"/>
      <c r="K6" s="559"/>
    </row>
    <row r="7" spans="1:11" ht="31.5" customHeight="1" thickBot="1" x14ac:dyDescent="0.25">
      <c r="A7" s="2"/>
      <c r="B7" s="2"/>
      <c r="C7" s="600" t="s">
        <v>257</v>
      </c>
      <c r="D7" s="793"/>
      <c r="E7" s="793"/>
      <c r="F7" s="793"/>
      <c r="G7" s="793"/>
      <c r="H7" s="794"/>
      <c r="I7" s="2"/>
      <c r="J7" s="2"/>
    </row>
    <row r="8" spans="1:11" ht="64.5" customHeight="1" thickBot="1" x14ac:dyDescent="0.25">
      <c r="A8" s="2"/>
      <c r="B8" s="2"/>
      <c r="C8" s="534" t="s">
        <v>233</v>
      </c>
      <c r="D8" s="758" t="s">
        <v>244</v>
      </c>
      <c r="E8" s="771"/>
      <c r="F8" s="535" t="s">
        <v>259</v>
      </c>
      <c r="G8" s="758" t="s">
        <v>246</v>
      </c>
      <c r="H8" s="770"/>
      <c r="I8" s="2"/>
      <c r="J8" s="2"/>
    </row>
    <row r="9" spans="1:11" ht="15" x14ac:dyDescent="0.25">
      <c r="A9" s="2"/>
      <c r="B9" s="790" t="s">
        <v>52</v>
      </c>
      <c r="C9" s="536" t="s">
        <v>234</v>
      </c>
      <c r="D9" s="772">
        <f>$D$5/0.82</f>
        <v>0</v>
      </c>
      <c r="E9" s="773"/>
      <c r="F9" s="515">
        <v>0</v>
      </c>
      <c r="G9" s="774">
        <f t="shared" ref="G9:G14" si="0">D9*F9/2000</f>
        <v>0</v>
      </c>
      <c r="H9" s="775"/>
      <c r="I9" s="2"/>
      <c r="J9" s="2"/>
    </row>
    <row r="10" spans="1:11" ht="15" x14ac:dyDescent="0.25">
      <c r="A10" s="2"/>
      <c r="B10" s="791"/>
      <c r="C10" s="537" t="s">
        <v>235</v>
      </c>
      <c r="D10" s="762">
        <f>$D$5/0.28</f>
        <v>0</v>
      </c>
      <c r="E10" s="763"/>
      <c r="F10" s="516"/>
      <c r="G10" s="764">
        <f t="shared" si="0"/>
        <v>0</v>
      </c>
      <c r="H10" s="765"/>
      <c r="I10" s="2"/>
      <c r="J10" s="2"/>
    </row>
    <row r="11" spans="1:11" ht="15.75" thickBot="1" x14ac:dyDescent="0.3">
      <c r="A11" s="2"/>
      <c r="B11" s="792"/>
      <c r="C11" s="538" t="s">
        <v>236</v>
      </c>
      <c r="D11" s="766">
        <f>$D$5/0.46</f>
        <v>0</v>
      </c>
      <c r="E11" s="767"/>
      <c r="F11" s="517"/>
      <c r="G11" s="768">
        <f t="shared" si="0"/>
        <v>0</v>
      </c>
      <c r="H11" s="769"/>
      <c r="I11" s="2"/>
      <c r="J11" s="2"/>
    </row>
    <row r="12" spans="1:11" ht="15" x14ac:dyDescent="0.25">
      <c r="A12" s="2"/>
      <c r="B12" s="780" t="s">
        <v>47</v>
      </c>
      <c r="C12" s="539" t="s">
        <v>237</v>
      </c>
      <c r="D12" s="782">
        <f>$E$5/0.52</f>
        <v>0</v>
      </c>
      <c r="E12" s="783"/>
      <c r="F12" s="518">
        <v>0</v>
      </c>
      <c r="G12" s="784">
        <f t="shared" si="0"/>
        <v>0</v>
      </c>
      <c r="H12" s="785"/>
      <c r="I12" s="2"/>
      <c r="J12" s="2"/>
    </row>
    <row r="13" spans="1:11" ht="15.75" thickBot="1" x14ac:dyDescent="0.3">
      <c r="A13" s="2"/>
      <c r="B13" s="781"/>
      <c r="C13" s="540" t="s">
        <v>238</v>
      </c>
      <c r="D13" s="786">
        <f>$E$5/0.46</f>
        <v>0</v>
      </c>
      <c r="E13" s="787"/>
      <c r="F13" s="517"/>
      <c r="G13" s="788">
        <f t="shared" si="0"/>
        <v>0</v>
      </c>
      <c r="H13" s="789"/>
      <c r="I13" s="2"/>
      <c r="J13" s="2"/>
    </row>
    <row r="14" spans="1:11" ht="15.75" thickBot="1" x14ac:dyDescent="0.3">
      <c r="A14" s="2"/>
      <c r="B14" s="541" t="s">
        <v>33</v>
      </c>
      <c r="C14" s="542" t="s">
        <v>239</v>
      </c>
      <c r="D14" s="754">
        <f>$F$5/0.6</f>
        <v>0</v>
      </c>
      <c r="E14" s="755"/>
      <c r="F14" s="519"/>
      <c r="G14" s="756">
        <f t="shared" si="0"/>
        <v>0</v>
      </c>
      <c r="H14" s="757"/>
      <c r="I14" s="2"/>
      <c r="J14" s="2"/>
    </row>
    <row r="15" spans="1:11" ht="15" x14ac:dyDescent="0.2">
      <c r="A15" s="2"/>
      <c r="B15" s="2"/>
      <c r="C15" s="543" t="s">
        <v>240</v>
      </c>
      <c r="D15" s="2"/>
      <c r="E15" s="548"/>
      <c r="F15" s="561"/>
      <c r="G15" s="548"/>
      <c r="H15" s="555">
        <f>SUM(G9:H14)</f>
        <v>0</v>
      </c>
      <c r="I15" s="556" t="s">
        <v>252</v>
      </c>
      <c r="J15" s="2"/>
    </row>
    <row r="16" spans="1:11" x14ac:dyDescent="0.2">
      <c r="A16" s="2"/>
      <c r="B16" s="2"/>
      <c r="C16" s="167" t="s">
        <v>241</v>
      </c>
      <c r="D16" s="545"/>
      <c r="E16" s="548"/>
      <c r="F16" s="561"/>
      <c r="G16" s="548"/>
      <c r="H16" s="2"/>
      <c r="I16" s="2"/>
      <c r="J16" s="2"/>
    </row>
    <row r="17" spans="1:11" ht="18" customHeight="1" thickBot="1" x14ac:dyDescent="0.25">
      <c r="A17" s="2"/>
      <c r="B17" s="2"/>
      <c r="C17" s="87"/>
      <c r="D17" s="547"/>
      <c r="E17" s="547"/>
      <c r="F17" s="560"/>
      <c r="G17" s="523"/>
      <c r="H17" s="523"/>
      <c r="I17" s="523"/>
      <c r="J17" s="524"/>
      <c r="K17" s="559"/>
    </row>
    <row r="18" spans="1:11" ht="34.5" customHeight="1" thickBot="1" x14ac:dyDescent="0.25">
      <c r="A18" s="2"/>
      <c r="B18" s="2"/>
      <c r="C18" s="600" t="s">
        <v>253</v>
      </c>
      <c r="D18" s="760"/>
      <c r="E18" s="760"/>
      <c r="F18" s="760"/>
      <c r="G18" s="760"/>
      <c r="H18" s="761"/>
      <c r="I18" s="2"/>
      <c r="J18" s="2"/>
    </row>
    <row r="19" spans="1:11" ht="54" customHeight="1" thickBot="1" x14ac:dyDescent="0.25">
      <c r="A19" s="2"/>
      <c r="B19" s="2"/>
      <c r="C19" s="534" t="s">
        <v>233</v>
      </c>
      <c r="D19" s="758" t="s">
        <v>254</v>
      </c>
      <c r="E19" s="759"/>
      <c r="F19" s="535" t="s">
        <v>260</v>
      </c>
      <c r="G19" s="758" t="s">
        <v>247</v>
      </c>
      <c r="H19" s="770"/>
      <c r="I19" s="2"/>
      <c r="J19" s="2"/>
    </row>
    <row r="20" spans="1:11" ht="15" x14ac:dyDescent="0.25">
      <c r="A20" s="2"/>
      <c r="B20" s="790" t="s">
        <v>52</v>
      </c>
      <c r="C20" s="536" t="s">
        <v>234</v>
      </c>
      <c r="D20" s="772">
        <f>IF((($D$4-$D$5)/0.82)&lt;1,0,($D$4-$D$5)/0.82)</f>
        <v>0</v>
      </c>
      <c r="E20" s="773"/>
      <c r="F20" s="549">
        <f t="shared" ref="F20:F25" si="1">F9</f>
        <v>0</v>
      </c>
      <c r="G20" s="774">
        <f t="shared" ref="G20:G25" si="2">D20*F20/2000</f>
        <v>0</v>
      </c>
      <c r="H20" s="775"/>
      <c r="I20" s="2"/>
      <c r="J20" s="2"/>
    </row>
    <row r="21" spans="1:11" ht="15" x14ac:dyDescent="0.25">
      <c r="A21" s="2"/>
      <c r="B21" s="791"/>
      <c r="C21" s="537" t="s">
        <v>235</v>
      </c>
      <c r="D21" s="762">
        <f>IF((($D$4-$D$5)/0.28)&lt;1,0,($D$4-$D$5)/0.28)</f>
        <v>0</v>
      </c>
      <c r="E21" s="763"/>
      <c r="F21" s="550">
        <f t="shared" si="1"/>
        <v>0</v>
      </c>
      <c r="G21" s="764">
        <f t="shared" si="2"/>
        <v>0</v>
      </c>
      <c r="H21" s="765"/>
      <c r="I21" s="2"/>
      <c r="J21" s="2"/>
    </row>
    <row r="22" spans="1:11" ht="15.75" thickBot="1" x14ac:dyDescent="0.3">
      <c r="A22" s="2"/>
      <c r="B22" s="792"/>
      <c r="C22" s="538" t="s">
        <v>236</v>
      </c>
      <c r="D22" s="766">
        <f>IF((($D$4-$D$5)/0.46)&lt;1,0,($D$4-$D$5)/0.46)</f>
        <v>0</v>
      </c>
      <c r="E22" s="767"/>
      <c r="F22" s="551">
        <f t="shared" si="1"/>
        <v>0</v>
      </c>
      <c r="G22" s="768">
        <f t="shared" si="2"/>
        <v>0</v>
      </c>
      <c r="H22" s="769"/>
      <c r="I22" s="2"/>
      <c r="J22" s="2"/>
    </row>
    <row r="23" spans="1:11" ht="15" x14ac:dyDescent="0.25">
      <c r="A23" s="2"/>
      <c r="B23" s="780" t="s">
        <v>47</v>
      </c>
      <c r="C23" s="539" t="s">
        <v>237</v>
      </c>
      <c r="D23" s="782">
        <f>IF((($E$4-$E$5)/0.52)&lt;1,0,($E$4-$E$5)/0.52)</f>
        <v>0</v>
      </c>
      <c r="E23" s="783"/>
      <c r="F23" s="552">
        <f t="shared" si="1"/>
        <v>0</v>
      </c>
      <c r="G23" s="784">
        <f t="shared" si="2"/>
        <v>0</v>
      </c>
      <c r="H23" s="785"/>
      <c r="I23" s="2"/>
      <c r="J23" s="2"/>
    </row>
    <row r="24" spans="1:11" ht="15.75" thickBot="1" x14ac:dyDescent="0.3">
      <c r="A24" s="2"/>
      <c r="B24" s="781"/>
      <c r="C24" s="540" t="s">
        <v>238</v>
      </c>
      <c r="D24" s="786">
        <f>IF((($E$4-$E$5)/0.46)&lt;1,0,($E$4-$E$5)/0.46)</f>
        <v>0</v>
      </c>
      <c r="E24" s="787"/>
      <c r="F24" s="553">
        <f t="shared" si="1"/>
        <v>0</v>
      </c>
      <c r="G24" s="788">
        <f t="shared" si="2"/>
        <v>0</v>
      </c>
      <c r="H24" s="789"/>
      <c r="I24" s="2"/>
      <c r="J24" s="2"/>
    </row>
    <row r="25" spans="1:11" ht="15.75" thickBot="1" x14ac:dyDescent="0.3">
      <c r="A25" s="2"/>
      <c r="B25" s="541" t="s">
        <v>33</v>
      </c>
      <c r="C25" s="542" t="s">
        <v>239</v>
      </c>
      <c r="D25" s="754">
        <f>IF((($F$4-$F$5)/0.6)&lt;1,0,($F$4-$F$5)/0.6)</f>
        <v>0</v>
      </c>
      <c r="E25" s="755"/>
      <c r="F25" s="554">
        <f t="shared" si="1"/>
        <v>0</v>
      </c>
      <c r="G25" s="756">
        <f t="shared" si="2"/>
        <v>0</v>
      </c>
      <c r="H25" s="757"/>
      <c r="I25" s="2"/>
      <c r="J25" s="2"/>
    </row>
    <row r="26" spans="1:11" ht="15" x14ac:dyDescent="0.2">
      <c r="A26" s="2"/>
      <c r="B26" s="2"/>
      <c r="C26" s="543" t="s">
        <v>240</v>
      </c>
      <c r="D26" s="2"/>
      <c r="E26" s="548"/>
      <c r="F26" s="544"/>
      <c r="G26" s="548"/>
      <c r="H26" s="555">
        <f>SUM(G20:H25)</f>
        <v>0</v>
      </c>
      <c r="I26" s="556" t="s">
        <v>252</v>
      </c>
      <c r="J26" s="2"/>
    </row>
    <row r="27" spans="1:11" x14ac:dyDescent="0.2">
      <c r="A27" s="2"/>
      <c r="B27" s="2"/>
      <c r="C27" s="167" t="s">
        <v>241</v>
      </c>
      <c r="D27" s="545"/>
      <c r="E27" s="548"/>
      <c r="F27" s="544"/>
      <c r="G27" s="548"/>
      <c r="H27" s="2"/>
      <c r="I27" s="2"/>
      <c r="J27" s="2"/>
    </row>
    <row r="28" spans="1:11" ht="13.5" thickBot="1" x14ac:dyDescent="0.25">
      <c r="A28" s="2"/>
      <c r="B28" s="2"/>
      <c r="C28" s="167"/>
      <c r="D28" s="545"/>
      <c r="E28" s="548"/>
      <c r="F28" s="544"/>
      <c r="G28" s="548"/>
      <c r="H28" s="2"/>
      <c r="I28" s="2"/>
      <c r="J28" s="2"/>
    </row>
    <row r="29" spans="1:11" ht="31.5" customHeight="1" thickBot="1" x14ac:dyDescent="0.25">
      <c r="A29" s="2"/>
      <c r="B29" s="2"/>
      <c r="C29" s="600" t="s">
        <v>255</v>
      </c>
      <c r="D29" s="760"/>
      <c r="E29" s="760"/>
      <c r="F29" s="760"/>
      <c r="G29" s="760"/>
      <c r="H29" s="761"/>
      <c r="I29" s="2"/>
      <c r="J29" s="2"/>
    </row>
    <row r="30" spans="1:11" ht="54.75" customHeight="1" thickBot="1" x14ac:dyDescent="0.25">
      <c r="A30" s="2"/>
      <c r="B30" s="2"/>
      <c r="C30" s="534" t="s">
        <v>233</v>
      </c>
      <c r="D30" s="758" t="s">
        <v>243</v>
      </c>
      <c r="E30" s="771"/>
      <c r="F30" s="535" t="s">
        <v>260</v>
      </c>
      <c r="G30" s="758" t="s">
        <v>256</v>
      </c>
      <c r="H30" s="770"/>
      <c r="I30" s="2"/>
      <c r="J30" s="2"/>
    </row>
    <row r="31" spans="1:11" ht="15" x14ac:dyDescent="0.25">
      <c r="A31" s="2"/>
      <c r="B31" s="790" t="s">
        <v>52</v>
      </c>
      <c r="C31" s="536" t="s">
        <v>234</v>
      </c>
      <c r="D31" s="772">
        <f>$D$4/0.82</f>
        <v>0</v>
      </c>
      <c r="E31" s="773"/>
      <c r="F31" s="549">
        <f t="shared" ref="F31:F36" si="3">F9</f>
        <v>0</v>
      </c>
      <c r="G31" s="774">
        <f t="shared" ref="G31:G36" si="4">D31*F31/2000</f>
        <v>0</v>
      </c>
      <c r="H31" s="775"/>
      <c r="I31" s="2"/>
      <c r="J31" s="2"/>
    </row>
    <row r="32" spans="1:11" ht="15" x14ac:dyDescent="0.25">
      <c r="A32" s="2"/>
      <c r="B32" s="791"/>
      <c r="C32" s="537" t="s">
        <v>235</v>
      </c>
      <c r="D32" s="762">
        <f>$D$4/0.28</f>
        <v>0</v>
      </c>
      <c r="E32" s="763"/>
      <c r="F32" s="550">
        <f t="shared" si="3"/>
        <v>0</v>
      </c>
      <c r="G32" s="764">
        <f t="shared" si="4"/>
        <v>0</v>
      </c>
      <c r="H32" s="765"/>
      <c r="I32" s="2"/>
      <c r="J32" s="2"/>
    </row>
    <row r="33" spans="1:11" ht="15.75" thickBot="1" x14ac:dyDescent="0.3">
      <c r="A33" s="2"/>
      <c r="B33" s="792"/>
      <c r="C33" s="538" t="s">
        <v>236</v>
      </c>
      <c r="D33" s="766">
        <f>$D$4/0.46</f>
        <v>0</v>
      </c>
      <c r="E33" s="767"/>
      <c r="F33" s="551">
        <f t="shared" si="3"/>
        <v>0</v>
      </c>
      <c r="G33" s="768">
        <f t="shared" si="4"/>
        <v>0</v>
      </c>
      <c r="H33" s="769"/>
      <c r="I33" s="2"/>
      <c r="J33" s="2"/>
    </row>
    <row r="34" spans="1:11" ht="15" x14ac:dyDescent="0.25">
      <c r="A34" s="2"/>
      <c r="B34" s="780" t="s">
        <v>47</v>
      </c>
      <c r="C34" s="539" t="s">
        <v>237</v>
      </c>
      <c r="D34" s="782">
        <f>$E$4/0.52</f>
        <v>0</v>
      </c>
      <c r="E34" s="783"/>
      <c r="F34" s="552">
        <f t="shared" si="3"/>
        <v>0</v>
      </c>
      <c r="G34" s="784">
        <f t="shared" si="4"/>
        <v>0</v>
      </c>
      <c r="H34" s="785"/>
      <c r="I34" s="2"/>
      <c r="J34" s="2"/>
    </row>
    <row r="35" spans="1:11" ht="15.75" thickBot="1" x14ac:dyDescent="0.3">
      <c r="A35" s="2"/>
      <c r="B35" s="781"/>
      <c r="C35" s="540" t="s">
        <v>238</v>
      </c>
      <c r="D35" s="786">
        <f>$E$4/0.46</f>
        <v>0</v>
      </c>
      <c r="E35" s="787"/>
      <c r="F35" s="553">
        <f t="shared" si="3"/>
        <v>0</v>
      </c>
      <c r="G35" s="788">
        <f t="shared" si="4"/>
        <v>0</v>
      </c>
      <c r="H35" s="789"/>
      <c r="I35" s="2"/>
      <c r="J35" s="2"/>
    </row>
    <row r="36" spans="1:11" ht="15.75" thickBot="1" x14ac:dyDescent="0.3">
      <c r="A36" s="2"/>
      <c r="B36" s="541" t="s">
        <v>33</v>
      </c>
      <c r="C36" s="542" t="s">
        <v>239</v>
      </c>
      <c r="D36" s="754">
        <f>$F$4/0.6</f>
        <v>0</v>
      </c>
      <c r="E36" s="755"/>
      <c r="F36" s="554">
        <f t="shared" si="3"/>
        <v>0</v>
      </c>
      <c r="G36" s="756">
        <f t="shared" si="4"/>
        <v>0</v>
      </c>
      <c r="H36" s="757"/>
      <c r="I36" s="2"/>
      <c r="J36" s="2"/>
    </row>
    <row r="37" spans="1:11" ht="15" x14ac:dyDescent="0.2">
      <c r="A37" s="2"/>
      <c r="B37" s="2"/>
      <c r="C37" s="543" t="s">
        <v>240</v>
      </c>
      <c r="D37" s="2"/>
      <c r="E37" s="548"/>
      <c r="F37" s="544"/>
      <c r="G37" s="548"/>
      <c r="H37" s="555">
        <f>SUM(G31:H36)</f>
        <v>0</v>
      </c>
      <c r="I37" s="556" t="s">
        <v>252</v>
      </c>
      <c r="J37" s="2"/>
    </row>
    <row r="38" spans="1:11" x14ac:dyDescent="0.2">
      <c r="A38" s="2"/>
      <c r="B38" s="2"/>
      <c r="C38" s="167" t="s">
        <v>261</v>
      </c>
      <c r="D38" s="545"/>
      <c r="E38" s="548"/>
      <c r="F38" s="544"/>
      <c r="G38" s="548"/>
      <c r="H38" s="2"/>
      <c r="I38" s="2"/>
      <c r="J38" s="2"/>
    </row>
    <row r="39" spans="1:11" ht="7.5" customHeight="1" x14ac:dyDescent="0.2">
      <c r="G39" s="558"/>
      <c r="H39" s="558"/>
      <c r="I39" s="558"/>
      <c r="J39" s="559"/>
      <c r="K39" s="559"/>
    </row>
    <row r="40" spans="1:11" x14ac:dyDescent="0.2">
      <c r="G40" s="558"/>
      <c r="H40" s="558"/>
      <c r="I40" s="558"/>
      <c r="J40" s="559"/>
      <c r="K40" s="559"/>
    </row>
    <row r="41" spans="1:11" x14ac:dyDescent="0.2">
      <c r="D41" s="562"/>
      <c r="J41" s="562"/>
    </row>
    <row r="42" spans="1:11" x14ac:dyDescent="0.2">
      <c r="D42" s="562"/>
      <c r="J42" s="562"/>
    </row>
    <row r="43" spans="1:11" x14ac:dyDescent="0.2">
      <c r="D43" s="562"/>
      <c r="J43" s="562"/>
    </row>
    <row r="44" spans="1:11" x14ac:dyDescent="0.2">
      <c r="D44" s="562"/>
      <c r="J44" s="562"/>
    </row>
  </sheetData>
  <sheetProtection algorithmName="SHA-512" hashValue="049fJyQhYKpOvPGMBXTVyV8hjqNLTGFCko5hEanOIzJAZXnaDD50ATiAF43wKlhuCumg/DKXqogZ2FECLLJhCg==" saltValue="05HokVajsVSpFsntNdIsOQ==" spinCount="100000" sheet="1" objects="1" scenarios="1" selectLockedCells="1"/>
  <mergeCells count="53">
    <mergeCell ref="D14:E14"/>
    <mergeCell ref="G14:H14"/>
    <mergeCell ref="D13:E13"/>
    <mergeCell ref="G13:H13"/>
    <mergeCell ref="C7:H7"/>
    <mergeCell ref="D8:E8"/>
    <mergeCell ref="G8:H8"/>
    <mergeCell ref="B9:B11"/>
    <mergeCell ref="B12:B13"/>
    <mergeCell ref="D11:E11"/>
    <mergeCell ref="G11:H11"/>
    <mergeCell ref="D12:E12"/>
    <mergeCell ref="G12:H12"/>
    <mergeCell ref="D9:E9"/>
    <mergeCell ref="G9:H9"/>
    <mergeCell ref="D10:E10"/>
    <mergeCell ref="G10:H10"/>
    <mergeCell ref="D2:F2"/>
    <mergeCell ref="D1:F1"/>
    <mergeCell ref="B34:B35"/>
    <mergeCell ref="D34:E34"/>
    <mergeCell ref="G34:H34"/>
    <mergeCell ref="D35:E35"/>
    <mergeCell ref="G35:H35"/>
    <mergeCell ref="B31:B33"/>
    <mergeCell ref="B23:B24"/>
    <mergeCell ref="D23:E23"/>
    <mergeCell ref="G23:H23"/>
    <mergeCell ref="D24:E24"/>
    <mergeCell ref="G24:H24"/>
    <mergeCell ref="B20:B22"/>
    <mergeCell ref="D20:E20"/>
    <mergeCell ref="G20:H20"/>
    <mergeCell ref="D36:E36"/>
    <mergeCell ref="G36:H36"/>
    <mergeCell ref="C29:H29"/>
    <mergeCell ref="D30:E30"/>
    <mergeCell ref="G30:H30"/>
    <mergeCell ref="D31:E31"/>
    <mergeCell ref="G31:H31"/>
    <mergeCell ref="D32:E32"/>
    <mergeCell ref="G32:H32"/>
    <mergeCell ref="D33:E33"/>
    <mergeCell ref="G33:H33"/>
    <mergeCell ref="D25:E25"/>
    <mergeCell ref="G25:H25"/>
    <mergeCell ref="D19:E19"/>
    <mergeCell ref="C18:H18"/>
    <mergeCell ref="D21:E21"/>
    <mergeCell ref="G21:H21"/>
    <mergeCell ref="D22:E22"/>
    <mergeCell ref="G22:H22"/>
    <mergeCell ref="G19:H19"/>
  </mergeCells>
  <pageMargins left="0.7" right="0.7" top="0.75" bottom="0.75" header="0.3" footer="0.3"/>
  <pageSetup scale="88" orientation="portrait" r:id="rId1"/>
  <headerFooter>
    <oddHeader xml:space="preserve">&amp;LODA Fertility Managment Tool 
Version 5.0 (AUG 2020) - All Manure Types </oddHeader>
  </headerFooter>
  <ignoredErrors>
    <ignoredError sqref="F20:F25 F31:F36 D4:F5 D9:E14 G9:H14 D20:E25 G20:H25 D31:E36 G31:H36 H15 H26 H3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Notes to Users</vt:lpstr>
      <vt:lpstr>Fertility Management Tool</vt:lpstr>
      <vt:lpstr>Nutrient $ Value</vt:lpstr>
      <vt:lpstr>'Fertility Management Tool'!Print_Area</vt:lpstr>
      <vt:lpstr>'Notes to Users'!Print_Area</vt:lpstr>
      <vt:lpstr>'Nutrient $ Value'!Print_Area</vt:lpstr>
    </vt:vector>
  </TitlesOfParts>
  <Company>Ohio Dept.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Bailey</dc:creator>
  <cp:lastModifiedBy>Douglas Billman</cp:lastModifiedBy>
  <cp:lastPrinted>2019-02-11T12:54:13Z</cp:lastPrinted>
  <dcterms:created xsi:type="dcterms:W3CDTF">2009-12-17T20:20:56Z</dcterms:created>
  <dcterms:modified xsi:type="dcterms:W3CDTF">2020-09-30T20:49:04Z</dcterms:modified>
</cp:coreProperties>
</file>